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328" tabRatio="956" activeTab="2"/>
  </bookViews>
  <sheets>
    <sheet name="Справочная информация" sheetId="11" r:id="rId1"/>
    <sheet name="Программы не ПФ" sheetId="12" r:id="rId2"/>
    <sheet name="Параметры ПФ" sheetId="7" r:id="rId3"/>
    <sheet name="Стандартные программы" sheetId="5" r:id="rId4"/>
    <sheet name="Адаптированные программы" sheetId="10" r:id="rId5"/>
    <sheet name="Дистанционные программы" sheetId="8" r:id="rId6"/>
    <sheet name="Очно-заочные программы" sheetId="9" r:id="rId7"/>
  </sheets>
  <externalReferences>
    <externalReference r:id="rId8"/>
  </externalReferences>
  <definedNames>
    <definedName name="_xlnm._FilterDatabase" localSheetId="1" hidden="1">'Программы не ПФ'!$A$2:$J$214</definedName>
    <definedName name="_xlnm._FilterDatabase" localSheetId="3" hidden="1">'Стандартные программы'!$A$1:$O$163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5" l="1"/>
  <c r="G97" i="5"/>
  <c r="G98" i="5"/>
  <c r="G102" i="5"/>
  <c r="G101" i="5"/>
  <c r="G159" i="5"/>
  <c r="G160" i="5"/>
  <c r="G149" i="5"/>
  <c r="G148" i="5"/>
  <c r="G156" i="5"/>
  <c r="G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 l="1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3" i="12"/>
  <c r="H12" i="12"/>
  <c r="H11" i="12"/>
  <c r="H10" i="12"/>
  <c r="H9" i="12"/>
  <c r="H8" i="12"/>
  <c r="H7" i="12"/>
  <c r="H6" i="12"/>
  <c r="H5" i="12"/>
  <c r="H4" i="12"/>
  <c r="H3" i="12"/>
  <c r="H2" i="12"/>
  <c r="H214" i="12" s="1"/>
  <c r="H18" i="10" l="1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161" i="5" s="1"/>
  <c r="H2" i="5"/>
  <c r="G3" i="7" l="1"/>
  <c r="I3" i="7"/>
  <c r="H4" i="7" l="1"/>
  <c r="G161" i="5" l="1"/>
  <c r="G22" i="9"/>
  <c r="G25" i="10"/>
  <c r="G13" i="8"/>
  <c r="F4" i="7" l="1"/>
  <c r="G19" i="7" l="1"/>
  <c r="H19" i="7"/>
  <c r="I19" i="7"/>
  <c r="J19" i="7"/>
  <c r="K19" i="7"/>
  <c r="F19" i="7"/>
  <c r="K18" i="7" l="1"/>
  <c r="J18" i="7"/>
  <c r="I18" i="7"/>
  <c r="H18" i="7"/>
  <c r="G18" i="7"/>
  <c r="F18" i="7"/>
  <c r="K16" i="7"/>
  <c r="J16" i="7"/>
  <c r="I16" i="7"/>
  <c r="H16" i="7"/>
  <c r="G16" i="7"/>
  <c r="F16" i="7"/>
  <c r="K14" i="7"/>
  <c r="K15" i="7" s="1"/>
  <c r="J14" i="7"/>
  <c r="J15" i="7" s="1"/>
  <c r="I14" i="7"/>
  <c r="I15" i="7" s="1"/>
  <c r="H14" i="7"/>
  <c r="H15" i="7" s="1"/>
  <c r="G14" i="7"/>
  <c r="G15" i="7" s="1"/>
  <c r="F14" i="7"/>
  <c r="K17" i="7"/>
  <c r="J17" i="7"/>
  <c r="I17" i="7"/>
  <c r="H17" i="7"/>
  <c r="G17" i="7"/>
  <c r="F17" i="7"/>
  <c r="F15" i="7" l="1"/>
  <c r="G13" i="7"/>
  <c r="K13" i="7"/>
  <c r="H13" i="7"/>
  <c r="J13" i="7"/>
  <c r="I13" i="7"/>
  <c r="J5" i="10" l="1"/>
  <c r="K5" i="10" s="1"/>
  <c r="J7" i="10"/>
  <c r="K7" i="10" s="1"/>
  <c r="J9" i="10"/>
  <c r="K9" i="10" s="1"/>
  <c r="J11" i="10"/>
  <c r="K11" i="10" s="1"/>
  <c r="J13" i="10"/>
  <c r="K13" i="10" s="1"/>
  <c r="J19" i="10"/>
  <c r="K19" i="10" s="1"/>
  <c r="J3" i="10"/>
  <c r="K3" i="10" s="1"/>
  <c r="J2" i="10"/>
  <c r="K2" i="10" s="1"/>
  <c r="J6" i="10"/>
  <c r="K6" i="10" s="1"/>
  <c r="J8" i="10"/>
  <c r="K8" i="10" s="1"/>
  <c r="J10" i="10"/>
  <c r="K10" i="10" s="1"/>
  <c r="J12" i="10"/>
  <c r="K12" i="10" s="1"/>
  <c r="J20" i="10"/>
  <c r="K20" i="10" s="1"/>
  <c r="J4" i="10"/>
  <c r="K4" i="10" s="1"/>
  <c r="J139" i="5"/>
  <c r="K139" i="5" s="1"/>
  <c r="J138" i="5"/>
  <c r="K138" i="5" s="1"/>
  <c r="J135" i="5"/>
  <c r="K135" i="5" s="1"/>
  <c r="J134" i="5"/>
  <c r="K134" i="5" s="1"/>
  <c r="J131" i="5"/>
  <c r="K131" i="5" s="1"/>
  <c r="J141" i="5"/>
  <c r="K141" i="5" s="1"/>
  <c r="J140" i="5"/>
  <c r="K140" i="5" s="1"/>
  <c r="J137" i="5"/>
  <c r="K137" i="5" s="1"/>
  <c r="J136" i="5"/>
  <c r="K136" i="5" s="1"/>
  <c r="J133" i="5"/>
  <c r="K133" i="5" s="1"/>
  <c r="J132" i="5"/>
  <c r="K132" i="5" s="1"/>
  <c r="J130" i="5"/>
  <c r="K130" i="5" s="1"/>
  <c r="J16" i="10"/>
  <c r="K16" i="10" s="1"/>
  <c r="J151" i="5"/>
  <c r="K151" i="5" s="1"/>
  <c r="J150" i="5"/>
  <c r="K150" i="5" s="1"/>
  <c r="J159" i="5"/>
  <c r="K159" i="5" s="1"/>
  <c r="J158" i="5"/>
  <c r="K158" i="5" s="1"/>
  <c r="J155" i="5"/>
  <c r="K155" i="5" s="1"/>
  <c r="J154" i="5"/>
  <c r="K154" i="5" s="1"/>
  <c r="J147" i="5"/>
  <c r="K147" i="5" s="1"/>
  <c r="J146" i="5"/>
  <c r="K146" i="5" s="1"/>
  <c r="J143" i="5"/>
  <c r="K143" i="5" s="1"/>
  <c r="J142" i="5"/>
  <c r="K142" i="5" s="1"/>
  <c r="J129" i="5"/>
  <c r="J127" i="5"/>
  <c r="J160" i="5"/>
  <c r="K160" i="5" s="1"/>
  <c r="J157" i="5"/>
  <c r="K157" i="5" s="1"/>
  <c r="J156" i="5"/>
  <c r="K156" i="5" s="1"/>
  <c r="J149" i="5"/>
  <c r="K149" i="5" s="1"/>
  <c r="J148" i="5"/>
  <c r="K148" i="5" s="1"/>
  <c r="J145" i="5"/>
  <c r="K145" i="5" s="1"/>
  <c r="J144" i="5"/>
  <c r="K144" i="5" s="1"/>
  <c r="J126" i="5"/>
  <c r="J128" i="5"/>
  <c r="J15" i="10"/>
  <c r="K15" i="10" s="1"/>
  <c r="J14" i="10"/>
  <c r="K14" i="10" s="1"/>
  <c r="J153" i="5"/>
  <c r="K153" i="5" s="1"/>
  <c r="J152" i="5"/>
  <c r="K152" i="5" s="1"/>
  <c r="J105" i="5"/>
  <c r="K105" i="5" s="1"/>
  <c r="J107" i="5"/>
  <c r="K107" i="5" s="1"/>
  <c r="J109" i="5"/>
  <c r="K109" i="5" s="1"/>
  <c r="J111" i="5"/>
  <c r="K111" i="5" s="1"/>
  <c r="J113" i="5"/>
  <c r="K113" i="5" s="1"/>
  <c r="J115" i="5"/>
  <c r="K115" i="5" s="1"/>
  <c r="J117" i="5"/>
  <c r="K117" i="5" s="1"/>
  <c r="J104" i="5"/>
  <c r="K104" i="5" s="1"/>
  <c r="J106" i="5"/>
  <c r="K106" i="5" s="1"/>
  <c r="J108" i="5"/>
  <c r="K108" i="5" s="1"/>
  <c r="J110" i="5"/>
  <c r="K110" i="5" s="1"/>
  <c r="J112" i="5"/>
  <c r="K112" i="5" s="1"/>
  <c r="J114" i="5"/>
  <c r="K114" i="5" s="1"/>
  <c r="J116" i="5"/>
  <c r="K116" i="5" s="1"/>
  <c r="I4" i="8"/>
  <c r="J13" i="5"/>
  <c r="K13" i="5" s="1"/>
  <c r="J14" i="5"/>
  <c r="K14" i="5" s="1"/>
  <c r="J16" i="5"/>
  <c r="K16" i="5" s="1"/>
  <c r="J18" i="5"/>
  <c r="K18" i="5" s="1"/>
  <c r="J20" i="5"/>
  <c r="K20" i="5" s="1"/>
  <c r="J22" i="5"/>
  <c r="K22" i="5" s="1"/>
  <c r="J24" i="5"/>
  <c r="K24" i="5" s="1"/>
  <c r="J26" i="5"/>
  <c r="K26" i="5" s="1"/>
  <c r="J28" i="5"/>
  <c r="K28" i="5" s="1"/>
  <c r="J30" i="5"/>
  <c r="K30" i="5" s="1"/>
  <c r="J32" i="5"/>
  <c r="K32" i="5" s="1"/>
  <c r="J34" i="5"/>
  <c r="K34" i="5" s="1"/>
  <c r="J36" i="5"/>
  <c r="K36" i="5" s="1"/>
  <c r="J38" i="5"/>
  <c r="K38" i="5" s="1"/>
  <c r="J40" i="5"/>
  <c r="K40" i="5" s="1"/>
  <c r="J42" i="5"/>
  <c r="K42" i="5" s="1"/>
  <c r="J44" i="5"/>
  <c r="K44" i="5" s="1"/>
  <c r="J46" i="5"/>
  <c r="K46" i="5" s="1"/>
  <c r="J48" i="5"/>
  <c r="K48" i="5" s="1"/>
  <c r="J50" i="5"/>
  <c r="K50" i="5" s="1"/>
  <c r="J52" i="5"/>
  <c r="K52" i="5" s="1"/>
  <c r="J54" i="5"/>
  <c r="K54" i="5" s="1"/>
  <c r="J56" i="5"/>
  <c r="K56" i="5" s="1"/>
  <c r="J58" i="5"/>
  <c r="K58" i="5" s="1"/>
  <c r="J60" i="5"/>
  <c r="K60" i="5" s="1"/>
  <c r="J62" i="5"/>
  <c r="K62" i="5" s="1"/>
  <c r="J64" i="5"/>
  <c r="K64" i="5" s="1"/>
  <c r="J66" i="5"/>
  <c r="K66" i="5" s="1"/>
  <c r="J68" i="5"/>
  <c r="K68" i="5" s="1"/>
  <c r="J70" i="5"/>
  <c r="K70" i="5" s="1"/>
  <c r="J72" i="5"/>
  <c r="K72" i="5" s="1"/>
  <c r="J74" i="5"/>
  <c r="K74" i="5" s="1"/>
  <c r="J76" i="5"/>
  <c r="K76" i="5" s="1"/>
  <c r="J78" i="5"/>
  <c r="K78" i="5" s="1"/>
  <c r="J12" i="5"/>
  <c r="K12" i="5" s="1"/>
  <c r="J15" i="5"/>
  <c r="K15" i="5" s="1"/>
  <c r="J17" i="5"/>
  <c r="K17" i="5" s="1"/>
  <c r="J19" i="5"/>
  <c r="K19" i="5" s="1"/>
  <c r="J21" i="5"/>
  <c r="K21" i="5" s="1"/>
  <c r="J23" i="5"/>
  <c r="K23" i="5" s="1"/>
  <c r="J25" i="5"/>
  <c r="K25" i="5" s="1"/>
  <c r="J27" i="5"/>
  <c r="K27" i="5" s="1"/>
  <c r="J29" i="5"/>
  <c r="K29" i="5" s="1"/>
  <c r="J31" i="5"/>
  <c r="K31" i="5" s="1"/>
  <c r="J33" i="5"/>
  <c r="K33" i="5" s="1"/>
  <c r="J35" i="5"/>
  <c r="K35" i="5" s="1"/>
  <c r="J37" i="5"/>
  <c r="K37" i="5" s="1"/>
  <c r="J39" i="5"/>
  <c r="K39" i="5" s="1"/>
  <c r="J41" i="5"/>
  <c r="K41" i="5" s="1"/>
  <c r="J43" i="5"/>
  <c r="K43" i="5" s="1"/>
  <c r="J45" i="5"/>
  <c r="K45" i="5" s="1"/>
  <c r="J47" i="5"/>
  <c r="K47" i="5" s="1"/>
  <c r="J49" i="5"/>
  <c r="K49" i="5" s="1"/>
  <c r="J51" i="5"/>
  <c r="K51" i="5" s="1"/>
  <c r="J53" i="5"/>
  <c r="K53" i="5" s="1"/>
  <c r="J55" i="5"/>
  <c r="K55" i="5" s="1"/>
  <c r="J57" i="5"/>
  <c r="K57" i="5" s="1"/>
  <c r="J59" i="5"/>
  <c r="K59" i="5" s="1"/>
  <c r="J61" i="5"/>
  <c r="K61" i="5" s="1"/>
  <c r="J63" i="5"/>
  <c r="K63" i="5" s="1"/>
  <c r="J65" i="5"/>
  <c r="K65" i="5" s="1"/>
  <c r="J67" i="5"/>
  <c r="K67" i="5" s="1"/>
  <c r="J69" i="5"/>
  <c r="K69" i="5" s="1"/>
  <c r="J71" i="5"/>
  <c r="K71" i="5" s="1"/>
  <c r="J73" i="5"/>
  <c r="K73" i="5" s="1"/>
  <c r="J75" i="5"/>
  <c r="K75" i="5" s="1"/>
  <c r="J77" i="5"/>
  <c r="K77" i="5" s="1"/>
  <c r="J118" i="5"/>
  <c r="K118" i="5" s="1"/>
  <c r="J119" i="5"/>
  <c r="K119" i="5" s="1"/>
  <c r="J121" i="5"/>
  <c r="K121" i="5" s="1"/>
  <c r="J120" i="5"/>
  <c r="K120" i="5" s="1"/>
  <c r="J123" i="5"/>
  <c r="K123" i="5" s="1"/>
  <c r="J125" i="5"/>
  <c r="K125" i="5" s="1"/>
  <c r="K126" i="5"/>
  <c r="K128" i="5"/>
  <c r="J122" i="5"/>
  <c r="K122" i="5" s="1"/>
  <c r="K127" i="5"/>
  <c r="J124" i="5"/>
  <c r="K124" i="5" s="1"/>
  <c r="K129" i="5"/>
  <c r="I5" i="8"/>
  <c r="I6" i="8"/>
  <c r="F13" i="7"/>
  <c r="J5" i="5"/>
  <c r="K5" i="5" s="1"/>
  <c r="J4" i="5"/>
  <c r="K4" i="5" s="1"/>
  <c r="J8" i="5"/>
  <c r="K8" i="5" s="1"/>
  <c r="J11" i="5"/>
  <c r="K11" i="5" s="1"/>
  <c r="J9" i="5"/>
  <c r="K9" i="5" s="1"/>
  <c r="J6" i="5"/>
  <c r="K6" i="5" s="1"/>
  <c r="J2" i="5"/>
  <c r="J10" i="5"/>
  <c r="K10" i="5" s="1"/>
  <c r="J7" i="5"/>
  <c r="K7" i="5" s="1"/>
  <c r="J17" i="10" l="1"/>
  <c r="K17" i="10" s="1"/>
  <c r="J18" i="10"/>
  <c r="K18" i="10" s="1"/>
  <c r="J3" i="7"/>
  <c r="N152" i="5" s="1"/>
  <c r="J3" i="5"/>
  <c r="K3" i="5" s="1"/>
  <c r="J80" i="5"/>
  <c r="K80" i="5" s="1"/>
  <c r="J82" i="5"/>
  <c r="K82" i="5" s="1"/>
  <c r="J84" i="5"/>
  <c r="K84" i="5" s="1"/>
  <c r="J86" i="5"/>
  <c r="K86" i="5" s="1"/>
  <c r="J88" i="5"/>
  <c r="K88" i="5" s="1"/>
  <c r="J90" i="5"/>
  <c r="K90" i="5" s="1"/>
  <c r="J92" i="5"/>
  <c r="K92" i="5" s="1"/>
  <c r="J95" i="5"/>
  <c r="K95" i="5" s="1"/>
  <c r="J97" i="5"/>
  <c r="K97" i="5" s="1"/>
  <c r="J99" i="5"/>
  <c r="K99" i="5" s="1"/>
  <c r="J101" i="5"/>
  <c r="K101" i="5" s="1"/>
  <c r="J103" i="5"/>
  <c r="K103" i="5" s="1"/>
  <c r="J79" i="5"/>
  <c r="K79" i="5" s="1"/>
  <c r="J81" i="5"/>
  <c r="K81" i="5" s="1"/>
  <c r="J83" i="5"/>
  <c r="K83" i="5" s="1"/>
  <c r="J85" i="5"/>
  <c r="K85" i="5" s="1"/>
  <c r="J87" i="5"/>
  <c r="K87" i="5" s="1"/>
  <c r="J89" i="5"/>
  <c r="K89" i="5" s="1"/>
  <c r="J91" i="5"/>
  <c r="K91" i="5" s="1"/>
  <c r="J93" i="5"/>
  <c r="K93" i="5" s="1"/>
  <c r="J94" i="5"/>
  <c r="K94" i="5" s="1"/>
  <c r="J96" i="5"/>
  <c r="K96" i="5" s="1"/>
  <c r="J98" i="5"/>
  <c r="K98" i="5" s="1"/>
  <c r="J100" i="5"/>
  <c r="K100" i="5" s="1"/>
  <c r="J102" i="5"/>
  <c r="K102" i="5" s="1"/>
  <c r="N3" i="7"/>
  <c r="Q3" i="7" s="1"/>
  <c r="L3" i="7"/>
  <c r="P3" i="7" s="1"/>
  <c r="K2" i="5"/>
  <c r="N5" i="10" l="1"/>
  <c r="N9" i="10"/>
  <c r="N13" i="10"/>
  <c r="N3" i="10"/>
  <c r="N6" i="10"/>
  <c r="N10" i="10"/>
  <c r="N20" i="10"/>
  <c r="L139" i="5"/>
  <c r="L135" i="5"/>
  <c r="L131" i="5"/>
  <c r="L140" i="5"/>
  <c r="L136" i="5"/>
  <c r="L132" i="5"/>
  <c r="N16" i="10"/>
  <c r="L150" i="5"/>
  <c r="L158" i="5"/>
  <c r="L154" i="5"/>
  <c r="L146" i="5"/>
  <c r="L142" i="5"/>
  <c r="L157" i="5"/>
  <c r="L149" i="5"/>
  <c r="L145" i="5"/>
  <c r="N15" i="10"/>
  <c r="L153" i="5"/>
  <c r="L5" i="10"/>
  <c r="M5" i="10" s="1"/>
  <c r="L9" i="10"/>
  <c r="M9" i="10" s="1"/>
  <c r="L13" i="10"/>
  <c r="M13" i="10" s="1"/>
  <c r="L3" i="10"/>
  <c r="L6" i="10"/>
  <c r="M6" i="10" s="1"/>
  <c r="L10" i="10"/>
  <c r="M10" i="10" s="1"/>
  <c r="L20" i="10"/>
  <c r="M20" i="10" s="1"/>
  <c r="N139" i="5"/>
  <c r="N135" i="5"/>
  <c r="N131" i="5"/>
  <c r="N140" i="5"/>
  <c r="N136" i="5"/>
  <c r="N132" i="5"/>
  <c r="L16" i="10"/>
  <c r="M16" i="10" s="1"/>
  <c r="N150" i="5"/>
  <c r="N158" i="5"/>
  <c r="N154" i="5"/>
  <c r="N146" i="5"/>
  <c r="N142" i="5"/>
  <c r="N157" i="5"/>
  <c r="N149" i="5"/>
  <c r="N145" i="5"/>
  <c r="L15" i="10"/>
  <c r="M15" i="10" s="1"/>
  <c r="N153" i="5"/>
  <c r="L18" i="10"/>
  <c r="M18" i="10" s="1"/>
  <c r="N18" i="10"/>
  <c r="N7" i="10"/>
  <c r="N11" i="10"/>
  <c r="N19" i="10"/>
  <c r="L2" i="10"/>
  <c r="N8" i="10"/>
  <c r="N12" i="10"/>
  <c r="N4" i="10"/>
  <c r="L138" i="5"/>
  <c r="L134" i="5"/>
  <c r="L141" i="5"/>
  <c r="L137" i="5"/>
  <c r="L133" i="5"/>
  <c r="L130" i="5"/>
  <c r="L151" i="5"/>
  <c r="L159" i="5"/>
  <c r="L155" i="5"/>
  <c r="L147" i="5"/>
  <c r="L143" i="5"/>
  <c r="L160" i="5"/>
  <c r="L156" i="5"/>
  <c r="L148" i="5"/>
  <c r="L144" i="5"/>
  <c r="N14" i="10"/>
  <c r="L152" i="5"/>
  <c r="L17" i="10"/>
  <c r="M17" i="10" s="1"/>
  <c r="N17" i="10"/>
  <c r="L7" i="10"/>
  <c r="M7" i="10" s="1"/>
  <c r="L11" i="10"/>
  <c r="M11" i="10" s="1"/>
  <c r="L19" i="10"/>
  <c r="M19" i="10" s="1"/>
  <c r="N2" i="10"/>
  <c r="L8" i="10"/>
  <c r="M8" i="10" s="1"/>
  <c r="L12" i="10"/>
  <c r="M12" i="10" s="1"/>
  <c r="L4" i="10"/>
  <c r="M4" i="10" s="1"/>
  <c r="N138" i="5"/>
  <c r="N134" i="5"/>
  <c r="N141" i="5"/>
  <c r="N137" i="5"/>
  <c r="N133" i="5"/>
  <c r="N130" i="5"/>
  <c r="N151" i="5"/>
  <c r="N159" i="5"/>
  <c r="N155" i="5"/>
  <c r="N147" i="5"/>
  <c r="N143" i="5"/>
  <c r="N160" i="5"/>
  <c r="N156" i="5"/>
  <c r="N148" i="5"/>
  <c r="N144" i="5"/>
  <c r="L14" i="10"/>
  <c r="M14" i="10" s="1"/>
  <c r="O3" i="7"/>
  <c r="O4" i="7" s="1"/>
  <c r="L81" i="5"/>
  <c r="M81" i="5" s="1"/>
  <c r="L49" i="5"/>
  <c r="M49" i="5" s="1"/>
  <c r="L17" i="5"/>
  <c r="M17" i="5" s="1"/>
  <c r="L121" i="5"/>
  <c r="M121" i="5" s="1"/>
  <c r="L89" i="5"/>
  <c r="M89" i="5" s="1"/>
  <c r="L57" i="5"/>
  <c r="M57" i="5" s="1"/>
  <c r="L25" i="5"/>
  <c r="M25" i="5" s="1"/>
  <c r="L117" i="5"/>
  <c r="M117" i="5" s="1"/>
  <c r="L109" i="5"/>
  <c r="M109" i="5" s="1"/>
  <c r="L101" i="5"/>
  <c r="M101" i="5" s="1"/>
  <c r="L93" i="5"/>
  <c r="M93" i="5" s="1"/>
  <c r="L85" i="5"/>
  <c r="M85" i="5" s="1"/>
  <c r="L77" i="5"/>
  <c r="M77" i="5" s="1"/>
  <c r="L69" i="5"/>
  <c r="M69" i="5" s="1"/>
  <c r="L61" i="5"/>
  <c r="M61" i="5" s="1"/>
  <c r="L53" i="5"/>
  <c r="M53" i="5" s="1"/>
  <c r="L45" i="5"/>
  <c r="M45" i="5" s="1"/>
  <c r="L37" i="5"/>
  <c r="M37" i="5" s="1"/>
  <c r="L29" i="5"/>
  <c r="M29" i="5" s="1"/>
  <c r="L21" i="5"/>
  <c r="M21" i="5" s="1"/>
  <c r="L13" i="5"/>
  <c r="M13" i="5" s="1"/>
  <c r="L107" i="5"/>
  <c r="M107" i="5" s="1"/>
  <c r="L91" i="5"/>
  <c r="M91" i="5" s="1"/>
  <c r="L75" i="5"/>
  <c r="M75" i="5" s="1"/>
  <c r="L59" i="5"/>
  <c r="M59" i="5" s="1"/>
  <c r="L43" i="5"/>
  <c r="M43" i="5" s="1"/>
  <c r="L27" i="5"/>
  <c r="M27" i="5" s="1"/>
  <c r="N120" i="5"/>
  <c r="N116" i="5"/>
  <c r="N112" i="5"/>
  <c r="N108" i="5"/>
  <c r="N104" i="5"/>
  <c r="N100" i="5"/>
  <c r="N96" i="5"/>
  <c r="N92" i="5"/>
  <c r="N88" i="5"/>
  <c r="N84" i="5"/>
  <c r="N80" i="5"/>
  <c r="N76" i="5"/>
  <c r="N72" i="5"/>
  <c r="N68" i="5"/>
  <c r="N64" i="5"/>
  <c r="N60" i="5"/>
  <c r="N56" i="5"/>
  <c r="N52" i="5"/>
  <c r="N48" i="5"/>
  <c r="N44" i="5"/>
  <c r="N40" i="5"/>
  <c r="N36" i="5"/>
  <c r="N32" i="5"/>
  <c r="N28" i="5"/>
  <c r="N24" i="5"/>
  <c r="N20" i="5"/>
  <c r="N16" i="5"/>
  <c r="N12" i="5"/>
  <c r="N118" i="5"/>
  <c r="N114" i="5"/>
  <c r="N110" i="5"/>
  <c r="N106" i="5"/>
  <c r="N102" i="5"/>
  <c r="N98" i="5"/>
  <c r="N94" i="5"/>
  <c r="N90" i="5"/>
  <c r="N86" i="5"/>
  <c r="N82" i="5"/>
  <c r="N78" i="5"/>
  <c r="N74" i="5"/>
  <c r="N70" i="5"/>
  <c r="N66" i="5"/>
  <c r="N62" i="5"/>
  <c r="N58" i="5"/>
  <c r="N54" i="5"/>
  <c r="N50" i="5"/>
  <c r="N46" i="5"/>
  <c r="N42" i="5"/>
  <c r="N38" i="5"/>
  <c r="N34" i="5"/>
  <c r="N30" i="5"/>
  <c r="N26" i="5"/>
  <c r="N22" i="5"/>
  <c r="N18" i="5"/>
  <c r="N14" i="5"/>
  <c r="N119" i="5"/>
  <c r="N115" i="5"/>
  <c r="N111" i="5"/>
  <c r="N107" i="5"/>
  <c r="N103" i="5"/>
  <c r="N99" i="5"/>
  <c r="N95" i="5"/>
  <c r="N91" i="5"/>
  <c r="N87" i="5"/>
  <c r="N83" i="5"/>
  <c r="N79" i="5"/>
  <c r="N75" i="5"/>
  <c r="N71" i="5"/>
  <c r="N67" i="5"/>
  <c r="N63" i="5"/>
  <c r="N59" i="5"/>
  <c r="N55" i="5"/>
  <c r="N51" i="5"/>
  <c r="N47" i="5"/>
  <c r="N43" i="5"/>
  <c r="N39" i="5"/>
  <c r="N35" i="5"/>
  <c r="N31" i="5"/>
  <c r="N27" i="5"/>
  <c r="N23" i="5"/>
  <c r="N19" i="5"/>
  <c r="N15" i="5"/>
  <c r="L97" i="5"/>
  <c r="M97" i="5" s="1"/>
  <c r="L65" i="5"/>
  <c r="M65" i="5" s="1"/>
  <c r="L33" i="5"/>
  <c r="M33" i="5" s="1"/>
  <c r="L113" i="5"/>
  <c r="M113" i="5" s="1"/>
  <c r="L105" i="5"/>
  <c r="M105" i="5" s="1"/>
  <c r="L73" i="5"/>
  <c r="M73" i="5" s="1"/>
  <c r="L41" i="5"/>
  <c r="M41" i="5" s="1"/>
  <c r="L119" i="5"/>
  <c r="M119" i="5" s="1"/>
  <c r="L111" i="5"/>
  <c r="M111" i="5" s="1"/>
  <c r="L103" i="5"/>
  <c r="M103" i="5" s="1"/>
  <c r="L95" i="5"/>
  <c r="M95" i="5" s="1"/>
  <c r="L87" i="5"/>
  <c r="M87" i="5" s="1"/>
  <c r="L79" i="5"/>
  <c r="M79" i="5" s="1"/>
  <c r="L71" i="5"/>
  <c r="M71" i="5" s="1"/>
  <c r="L63" i="5"/>
  <c r="M63" i="5" s="1"/>
  <c r="L55" i="5"/>
  <c r="M55" i="5" s="1"/>
  <c r="L47" i="5"/>
  <c r="M47" i="5" s="1"/>
  <c r="L39" i="5"/>
  <c r="M39" i="5" s="1"/>
  <c r="L31" i="5"/>
  <c r="M31" i="5" s="1"/>
  <c r="L23" i="5"/>
  <c r="M23" i="5" s="1"/>
  <c r="L15" i="5"/>
  <c r="M15" i="5" s="1"/>
  <c r="L115" i="5"/>
  <c r="M115" i="5" s="1"/>
  <c r="L99" i="5"/>
  <c r="M99" i="5" s="1"/>
  <c r="L83" i="5"/>
  <c r="M83" i="5" s="1"/>
  <c r="L67" i="5"/>
  <c r="M67" i="5" s="1"/>
  <c r="L51" i="5"/>
  <c r="M51" i="5" s="1"/>
  <c r="L35" i="5"/>
  <c r="M35" i="5" s="1"/>
  <c r="L19" i="5"/>
  <c r="M19" i="5" s="1"/>
  <c r="L120" i="5"/>
  <c r="M120" i="5" s="1"/>
  <c r="L116" i="5"/>
  <c r="M116" i="5" s="1"/>
  <c r="L112" i="5"/>
  <c r="M112" i="5" s="1"/>
  <c r="L108" i="5"/>
  <c r="M108" i="5" s="1"/>
  <c r="L104" i="5"/>
  <c r="M104" i="5" s="1"/>
  <c r="L100" i="5"/>
  <c r="M100" i="5" s="1"/>
  <c r="L96" i="5"/>
  <c r="M96" i="5" s="1"/>
  <c r="L92" i="5"/>
  <c r="M92" i="5" s="1"/>
  <c r="L88" i="5"/>
  <c r="M88" i="5" s="1"/>
  <c r="L84" i="5"/>
  <c r="M84" i="5" s="1"/>
  <c r="L80" i="5"/>
  <c r="M80" i="5" s="1"/>
  <c r="L76" i="5"/>
  <c r="M76" i="5" s="1"/>
  <c r="L72" i="5"/>
  <c r="M72" i="5" s="1"/>
  <c r="L68" i="5"/>
  <c r="M68" i="5" s="1"/>
  <c r="L64" i="5"/>
  <c r="M64" i="5" s="1"/>
  <c r="L60" i="5"/>
  <c r="M60" i="5" s="1"/>
  <c r="L56" i="5"/>
  <c r="M56" i="5" s="1"/>
  <c r="L52" i="5"/>
  <c r="M52" i="5" s="1"/>
  <c r="L48" i="5"/>
  <c r="M48" i="5" s="1"/>
  <c r="L44" i="5"/>
  <c r="M44" i="5" s="1"/>
  <c r="L40" i="5"/>
  <c r="M40" i="5" s="1"/>
  <c r="L36" i="5"/>
  <c r="M36" i="5" s="1"/>
  <c r="L32" i="5"/>
  <c r="M32" i="5" s="1"/>
  <c r="L28" i="5"/>
  <c r="M28" i="5" s="1"/>
  <c r="L24" i="5"/>
  <c r="M24" i="5" s="1"/>
  <c r="L20" i="5"/>
  <c r="M20" i="5" s="1"/>
  <c r="L16" i="5"/>
  <c r="M16" i="5" s="1"/>
  <c r="L12" i="5"/>
  <c r="M12" i="5" s="1"/>
  <c r="L118" i="5"/>
  <c r="M118" i="5" s="1"/>
  <c r="L114" i="5"/>
  <c r="M114" i="5" s="1"/>
  <c r="L110" i="5"/>
  <c r="M110" i="5" s="1"/>
  <c r="L106" i="5"/>
  <c r="M106" i="5" s="1"/>
  <c r="L102" i="5"/>
  <c r="M102" i="5" s="1"/>
  <c r="L98" i="5"/>
  <c r="M98" i="5" s="1"/>
  <c r="L94" i="5"/>
  <c r="M94" i="5" s="1"/>
  <c r="L90" i="5"/>
  <c r="M90" i="5" s="1"/>
  <c r="L86" i="5"/>
  <c r="M86" i="5" s="1"/>
  <c r="L82" i="5"/>
  <c r="M82" i="5" s="1"/>
  <c r="L78" i="5"/>
  <c r="M78" i="5" s="1"/>
  <c r="L74" i="5"/>
  <c r="M74" i="5" s="1"/>
  <c r="L70" i="5"/>
  <c r="M70" i="5" s="1"/>
  <c r="L66" i="5"/>
  <c r="M66" i="5" s="1"/>
  <c r="L62" i="5"/>
  <c r="M62" i="5" s="1"/>
  <c r="L58" i="5"/>
  <c r="M58" i="5" s="1"/>
  <c r="L54" i="5"/>
  <c r="M54" i="5" s="1"/>
  <c r="L50" i="5"/>
  <c r="M50" i="5" s="1"/>
  <c r="L46" i="5"/>
  <c r="M46" i="5" s="1"/>
  <c r="L42" i="5"/>
  <c r="M42" i="5" s="1"/>
  <c r="L38" i="5"/>
  <c r="M38" i="5" s="1"/>
  <c r="L34" i="5"/>
  <c r="M34" i="5" s="1"/>
  <c r="L30" i="5"/>
  <c r="M30" i="5" s="1"/>
  <c r="L26" i="5"/>
  <c r="M26" i="5" s="1"/>
  <c r="L22" i="5"/>
  <c r="M22" i="5" s="1"/>
  <c r="L18" i="5"/>
  <c r="M18" i="5" s="1"/>
  <c r="L14" i="5"/>
  <c r="M14" i="5" s="1"/>
  <c r="N121" i="5"/>
  <c r="N117" i="5"/>
  <c r="N113" i="5"/>
  <c r="N109" i="5"/>
  <c r="N105" i="5"/>
  <c r="N101" i="5"/>
  <c r="N97" i="5"/>
  <c r="N93" i="5"/>
  <c r="N89" i="5"/>
  <c r="N85" i="5"/>
  <c r="N81" i="5"/>
  <c r="N77" i="5"/>
  <c r="N73" i="5"/>
  <c r="N69" i="5"/>
  <c r="N65" i="5"/>
  <c r="N61" i="5"/>
  <c r="N57" i="5"/>
  <c r="N53" i="5"/>
  <c r="N49" i="5"/>
  <c r="N45" i="5"/>
  <c r="N41" i="5"/>
  <c r="N37" i="5"/>
  <c r="N33" i="5"/>
  <c r="N29" i="5"/>
  <c r="N25" i="5"/>
  <c r="N21" i="5"/>
  <c r="N17" i="5"/>
  <c r="N13" i="5"/>
  <c r="L125" i="5"/>
  <c r="M125" i="5" s="1"/>
  <c r="N128" i="5"/>
  <c r="L127" i="5"/>
  <c r="M127" i="5" s="1"/>
  <c r="L129" i="5"/>
  <c r="M129" i="5" s="1"/>
  <c r="L123" i="5"/>
  <c r="M123" i="5" s="1"/>
  <c r="N126" i="5"/>
  <c r="N122" i="5"/>
  <c r="N124" i="5"/>
  <c r="N125" i="5"/>
  <c r="L128" i="5"/>
  <c r="M128" i="5" s="1"/>
  <c r="N127" i="5"/>
  <c r="N129" i="5"/>
  <c r="N123" i="5"/>
  <c r="L126" i="5"/>
  <c r="M126" i="5" s="1"/>
  <c r="L122" i="5"/>
  <c r="M122" i="5" s="1"/>
  <c r="L124" i="5"/>
  <c r="M124" i="5" s="1"/>
  <c r="J5" i="8"/>
  <c r="K5" i="8" s="1"/>
  <c r="I2" i="9"/>
  <c r="I6" i="9"/>
  <c r="I21" i="9"/>
  <c r="I20" i="9"/>
  <c r="I8" i="9"/>
  <c r="I7" i="9"/>
  <c r="I4" i="9"/>
  <c r="I3" i="9"/>
  <c r="I17" i="9"/>
  <c r="I19" i="9"/>
  <c r="I18" i="9"/>
  <c r="I5" i="9"/>
  <c r="I14" i="9"/>
  <c r="I13" i="9"/>
  <c r="I16" i="9"/>
  <c r="I15" i="9"/>
  <c r="I10" i="9"/>
  <c r="I9" i="9"/>
  <c r="I12" i="9"/>
  <c r="I11" i="9"/>
  <c r="J24" i="10"/>
  <c r="J22" i="10"/>
  <c r="J21" i="10"/>
  <c r="J23" i="10"/>
  <c r="I8" i="8"/>
  <c r="I3" i="8"/>
  <c r="I9" i="8"/>
  <c r="I12" i="8"/>
  <c r="I11" i="8"/>
  <c r="I10" i="8"/>
  <c r="I2" i="8"/>
  <c r="J2" i="8" s="1"/>
  <c r="K2" i="8" s="1"/>
  <c r="I7" i="8"/>
  <c r="N9" i="5"/>
  <c r="N8" i="5"/>
  <c r="N4" i="5"/>
  <c r="N3" i="5"/>
  <c r="N5" i="5"/>
  <c r="N10" i="5"/>
  <c r="N11" i="5"/>
  <c r="N6" i="5"/>
  <c r="N7" i="5"/>
  <c r="L2" i="5"/>
  <c r="N2" i="5"/>
  <c r="L5" i="5"/>
  <c r="L7" i="5"/>
  <c r="L9" i="5"/>
  <c r="L6" i="5"/>
  <c r="L3" i="5"/>
  <c r="L11" i="5"/>
  <c r="L10" i="5"/>
  <c r="L4" i="5"/>
  <c r="L8" i="5"/>
  <c r="M148" i="5" l="1"/>
  <c r="O148" i="5"/>
  <c r="M160" i="5"/>
  <c r="O160" i="5"/>
  <c r="M147" i="5"/>
  <c r="O147" i="5"/>
  <c r="M159" i="5"/>
  <c r="O159" i="5"/>
  <c r="M130" i="5"/>
  <c r="O130" i="5"/>
  <c r="M137" i="5"/>
  <c r="O137" i="5"/>
  <c r="M134" i="5"/>
  <c r="O134" i="5"/>
  <c r="M149" i="5"/>
  <c r="O149" i="5"/>
  <c r="M142" i="5"/>
  <c r="O142" i="5"/>
  <c r="M154" i="5"/>
  <c r="O154" i="5"/>
  <c r="M150" i="5"/>
  <c r="O150" i="5"/>
  <c r="M132" i="5"/>
  <c r="O132" i="5"/>
  <c r="M140" i="5"/>
  <c r="O140" i="5"/>
  <c r="M135" i="5"/>
  <c r="O135" i="5"/>
  <c r="M152" i="5"/>
  <c r="O152" i="5"/>
  <c r="M144" i="5"/>
  <c r="O144" i="5"/>
  <c r="M156" i="5"/>
  <c r="O156" i="5"/>
  <c r="M143" i="5"/>
  <c r="O143" i="5"/>
  <c r="M155" i="5"/>
  <c r="O155" i="5"/>
  <c r="M151" i="5"/>
  <c r="O151" i="5"/>
  <c r="M133" i="5"/>
  <c r="O133" i="5"/>
  <c r="M141" i="5"/>
  <c r="O141" i="5"/>
  <c r="M138" i="5"/>
  <c r="O138" i="5"/>
  <c r="M2" i="10"/>
  <c r="O2" i="10"/>
  <c r="O3" i="10"/>
  <c r="M3" i="10"/>
  <c r="M153" i="5"/>
  <c r="O153" i="5"/>
  <c r="M145" i="5"/>
  <c r="O145" i="5"/>
  <c r="M157" i="5"/>
  <c r="O157" i="5"/>
  <c r="M146" i="5"/>
  <c r="O146" i="5"/>
  <c r="M158" i="5"/>
  <c r="O158" i="5"/>
  <c r="M136" i="5"/>
  <c r="O136" i="5"/>
  <c r="M131" i="5"/>
  <c r="O131" i="5"/>
  <c r="M139" i="5"/>
  <c r="O139" i="5"/>
  <c r="J6" i="8"/>
  <c r="K6" i="8" s="1"/>
  <c r="J12" i="8"/>
  <c r="J9" i="8"/>
  <c r="K9" i="8" s="1"/>
  <c r="K23" i="10"/>
  <c r="K21" i="10"/>
  <c r="J12" i="9"/>
  <c r="J10" i="9"/>
  <c r="J5" i="9"/>
  <c r="J19" i="9"/>
  <c r="J17" i="9"/>
  <c r="J7" i="9"/>
  <c r="J2" i="9"/>
  <c r="J7" i="8"/>
  <c r="K7" i="8" s="1"/>
  <c r="L2" i="8"/>
  <c r="M2" i="8"/>
  <c r="J11" i="8"/>
  <c r="J16" i="9"/>
  <c r="J14" i="9"/>
  <c r="J18" i="9"/>
  <c r="J4" i="9"/>
  <c r="J20" i="9"/>
  <c r="J6" i="9"/>
  <c r="J4" i="8"/>
  <c r="K4" i="8" s="1"/>
  <c r="J8" i="8"/>
  <c r="K8" i="8" s="1"/>
  <c r="K22" i="10"/>
  <c r="K24" i="10"/>
  <c r="J11" i="9"/>
  <c r="J9" i="9"/>
  <c r="J3" i="9"/>
  <c r="J8" i="9"/>
  <c r="M5" i="8"/>
  <c r="J10" i="8"/>
  <c r="K10" i="8" s="1"/>
  <c r="J3" i="8"/>
  <c r="K3" i="8" s="1"/>
  <c r="J15" i="9"/>
  <c r="J13" i="9"/>
  <c r="J21" i="9"/>
  <c r="N161" i="5"/>
  <c r="O4" i="5"/>
  <c r="Q4" i="5" s="1"/>
  <c r="M4" i="5"/>
  <c r="O2" i="5"/>
  <c r="Q2" i="5" s="1"/>
  <c r="M2" i="5"/>
  <c r="O10" i="5"/>
  <c r="Q10" i="5" s="1"/>
  <c r="M10" i="5"/>
  <c r="O3" i="5"/>
  <c r="Q3" i="5" s="1"/>
  <c r="M3" i="5"/>
  <c r="O6" i="5"/>
  <c r="Q6" i="5" s="1"/>
  <c r="M6" i="5"/>
  <c r="O7" i="5"/>
  <c r="Q7" i="5" s="1"/>
  <c r="M7" i="5"/>
  <c r="O9" i="5"/>
  <c r="Q9" i="5" s="1"/>
  <c r="M9" i="5"/>
  <c r="O5" i="5"/>
  <c r="Q5" i="5" s="1"/>
  <c r="M5" i="5"/>
  <c r="O8" i="5"/>
  <c r="Q8" i="5" s="1"/>
  <c r="M8" i="5"/>
  <c r="O11" i="5"/>
  <c r="Q11" i="5" s="1"/>
  <c r="M11" i="5"/>
  <c r="L24" i="10" l="1"/>
  <c r="N24" i="10"/>
  <c r="L21" i="10"/>
  <c r="N21" i="10"/>
  <c r="L22" i="10"/>
  <c r="N22" i="10"/>
  <c r="L23" i="10"/>
  <c r="N23" i="10"/>
  <c r="O4" i="10"/>
  <c r="M13" i="9"/>
  <c r="K13" i="9"/>
  <c r="K3" i="9"/>
  <c r="M3" i="9"/>
  <c r="K11" i="9"/>
  <c r="M11" i="9"/>
  <c r="M4" i="8"/>
  <c r="M20" i="9"/>
  <c r="K20" i="9"/>
  <c r="M14" i="9"/>
  <c r="K14" i="9"/>
  <c r="K2" i="9"/>
  <c r="M2" i="9"/>
  <c r="K7" i="9"/>
  <c r="M7" i="9"/>
  <c r="K19" i="9"/>
  <c r="M19" i="9"/>
  <c r="K12" i="9"/>
  <c r="M12" i="9"/>
  <c r="M9" i="8"/>
  <c r="M6" i="8"/>
  <c r="M15" i="9"/>
  <c r="K15" i="9"/>
  <c r="M3" i="8"/>
  <c r="M10" i="8"/>
  <c r="K8" i="9"/>
  <c r="M8" i="9"/>
  <c r="M9" i="9"/>
  <c r="K9" i="9"/>
  <c r="M8" i="8"/>
  <c r="M6" i="9"/>
  <c r="K6" i="9"/>
  <c r="K4" i="9"/>
  <c r="M4" i="9"/>
  <c r="K18" i="9"/>
  <c r="M18" i="9"/>
  <c r="K16" i="9"/>
  <c r="M16" i="9"/>
  <c r="M11" i="8"/>
  <c r="K11" i="8"/>
  <c r="M7" i="8"/>
  <c r="M17" i="9"/>
  <c r="K17" i="9"/>
  <c r="M5" i="9"/>
  <c r="K5" i="9"/>
  <c r="M10" i="9"/>
  <c r="K10" i="9"/>
  <c r="M12" i="8"/>
  <c r="K12" i="8"/>
  <c r="M21" i="9"/>
  <c r="K21" i="9"/>
  <c r="L5" i="8"/>
  <c r="N5" i="8"/>
  <c r="M161" i="5"/>
  <c r="N2" i="8"/>
  <c r="M13" i="8" l="1"/>
  <c r="L5" i="9"/>
  <c r="N5" i="9"/>
  <c r="O10" i="10"/>
  <c r="O11" i="10"/>
  <c r="O9" i="10"/>
  <c r="L15" i="9"/>
  <c r="N15" i="9"/>
  <c r="L7" i="9"/>
  <c r="N7" i="9"/>
  <c r="O20" i="10"/>
  <c r="L11" i="9"/>
  <c r="N11" i="9"/>
  <c r="N25" i="10"/>
  <c r="L21" i="9"/>
  <c r="N21" i="9"/>
  <c r="O16" i="10"/>
  <c r="L18" i="9"/>
  <c r="N18" i="9"/>
  <c r="M22" i="10"/>
  <c r="O22" i="10"/>
  <c r="L6" i="8"/>
  <c r="N6" i="8"/>
  <c r="L9" i="8"/>
  <c r="N9" i="8"/>
  <c r="M23" i="10"/>
  <c r="O23" i="10"/>
  <c r="M21" i="10"/>
  <c r="O21" i="10"/>
  <c r="L4" i="8"/>
  <c r="N4" i="8"/>
  <c r="O17" i="10"/>
  <c r="O15" i="10"/>
  <c r="L12" i="8"/>
  <c r="N12" i="8"/>
  <c r="L10" i="9"/>
  <c r="N10" i="9"/>
  <c r="L17" i="9"/>
  <c r="N17" i="9"/>
  <c r="L7" i="8"/>
  <c r="N7" i="8"/>
  <c r="L11" i="8"/>
  <c r="N11" i="8"/>
  <c r="O12" i="10"/>
  <c r="O6" i="10"/>
  <c r="L6" i="9"/>
  <c r="N6" i="9"/>
  <c r="L8" i="8"/>
  <c r="N8" i="8"/>
  <c r="L9" i="9"/>
  <c r="N9" i="9"/>
  <c r="L3" i="8"/>
  <c r="N3" i="8"/>
  <c r="O7" i="10"/>
  <c r="O18" i="10"/>
  <c r="L12" i="9"/>
  <c r="N12" i="9"/>
  <c r="L19" i="9"/>
  <c r="N19" i="9"/>
  <c r="L2" i="9"/>
  <c r="N2" i="9"/>
  <c r="M24" i="10"/>
  <c r="O24" i="10"/>
  <c r="L3" i="9"/>
  <c r="N3" i="9"/>
  <c r="L16" i="9"/>
  <c r="N16" i="9"/>
  <c r="L4" i="9"/>
  <c r="N4" i="9"/>
  <c r="L8" i="9"/>
  <c r="N8" i="9"/>
  <c r="L10" i="8"/>
  <c r="N10" i="8"/>
  <c r="O14" i="10"/>
  <c r="O8" i="10"/>
  <c r="L14" i="9"/>
  <c r="N14" i="9"/>
  <c r="L20" i="9"/>
  <c r="N20" i="9"/>
  <c r="O13" i="10"/>
  <c r="O5" i="10"/>
  <c r="O19" i="10"/>
  <c r="L13" i="9"/>
  <c r="N13" i="9"/>
  <c r="M22" i="9"/>
  <c r="M25" i="10" l="1"/>
  <c r="L22" i="9"/>
  <c r="L13" i="8"/>
  <c r="R3" i="7" l="1"/>
  <c r="R4" i="7" s="1"/>
</calcChain>
</file>

<file path=xl/sharedStrings.xml><?xml version="1.0" encoding="utf-8"?>
<sst xmlns="http://schemas.openxmlformats.org/spreadsheetml/2006/main" count="1398" uniqueCount="362">
  <si>
    <t>Наименование муниципалитета</t>
  </si>
  <si>
    <t>Организация 1</t>
  </si>
  <si>
    <t>Организация 2</t>
  </si>
  <si>
    <t>Техническая</t>
  </si>
  <si>
    <t>Естественнонаучная</t>
  </si>
  <si>
    <t>Художественная</t>
  </si>
  <si>
    <t>Туристско-краеведческая</t>
  </si>
  <si>
    <t>Физкультурно-спортивная</t>
  </si>
  <si>
    <t>Количество учебных недель в году</t>
  </si>
  <si>
    <t>Направленность</t>
  </si>
  <si>
    <t>Коэффициент доли работников АУП</t>
  </si>
  <si>
    <t>Минимальное число детей в группе</t>
  </si>
  <si>
    <t>Сумма затрат на повышение квалификации, в день</t>
  </si>
  <si>
    <t>Максимальное число детей в группе</t>
  </si>
  <si>
    <t>Стоимость медосмотра</t>
  </si>
  <si>
    <t>Нормативные затраты на час, всего</t>
  </si>
  <si>
    <t>Затраты на содержание имущества, на час реализации программы</t>
  </si>
  <si>
    <t>Затраты на оплату труда педагогических работников</t>
  </si>
  <si>
    <t>Стоимость комплекта средств обучения, по направленностям</t>
  </si>
  <si>
    <t>Затраты на оплату труда АУП</t>
  </si>
  <si>
    <t>Затраты на повышение квал-ии и медосмотры</t>
  </si>
  <si>
    <t>Затраты на приобретение средств обучения и учебной литературы</t>
  </si>
  <si>
    <t>Затраты на содержание имущества</t>
  </si>
  <si>
    <t>Норматив использования средств обучения в часах в год</t>
  </si>
  <si>
    <t>Стоимость учебного пособия</t>
  </si>
  <si>
    <t>Средняя зарплата по региону (целевой индикатор по Указу)</t>
  </si>
  <si>
    <t>Учреждение</t>
  </si>
  <si>
    <t>Программа</t>
  </si>
  <si>
    <t>Количество мест</t>
  </si>
  <si>
    <t>Норматив затрат по ПФ</t>
  </si>
  <si>
    <t>Волейбол</t>
  </si>
  <si>
    <t>х</t>
  </si>
  <si>
    <t>Количество учебных часов в неделю</t>
  </si>
  <si>
    <t>Предполагаемая цена за чел/час</t>
  </si>
  <si>
    <r>
      <t>Среднее число учащихся на педагога Q</t>
    </r>
    <r>
      <rPr>
        <vertAlign val="subscript"/>
        <sz val="12"/>
        <color theme="1"/>
        <rFont val="Calibri"/>
        <family val="2"/>
        <charset val="204"/>
        <scheme val="minor"/>
      </rPr>
      <t>сред</t>
    </r>
  </si>
  <si>
    <r>
      <t>Средняя норма часов в год на одного ребенка V</t>
    </r>
    <r>
      <rPr>
        <vertAlign val="subscript"/>
        <sz val="12"/>
        <color theme="1"/>
        <rFont val="Calibri"/>
        <family val="2"/>
        <charset val="204"/>
        <scheme val="minor"/>
      </rPr>
      <t>час</t>
    </r>
  </si>
  <si>
    <t>Выделенный объем финансового обеспечения, рублей</t>
  </si>
  <si>
    <t>ДОХОД учреждения по ПФ ДОД</t>
  </si>
  <si>
    <t>Требуется дополнительно выделить</t>
  </si>
  <si>
    <t>Организация 3</t>
  </si>
  <si>
    <t>Установленный охват общий, %</t>
  </si>
  <si>
    <t>Справочно число педчасов на указную зарплату при установленных параметрах</t>
  </si>
  <si>
    <t>Численность детей от 5 до 18 лет, всего</t>
  </si>
  <si>
    <t>Социально-гуманитарная</t>
  </si>
  <si>
    <t>Объем муниципального задания ПФДОД, человеко-часов</t>
  </si>
  <si>
    <t>Установленный охват ПФ ДОД</t>
  </si>
  <si>
    <t>Количество учебных недель в периоде обучения</t>
  </si>
  <si>
    <t>Стоимость 1 места в периоде обучения</t>
  </si>
  <si>
    <t>Оплата 1 места в периоде обучения сертификатом</t>
  </si>
  <si>
    <t>Доплата со стороны родителей за 1 место в периоде обучения</t>
  </si>
  <si>
    <t>Отраслевые коэффициенты</t>
  </si>
  <si>
    <t>Адаптированная программа для детей с ОВЗ</t>
  </si>
  <si>
    <t>Программа в дистанционной форме</t>
  </si>
  <si>
    <t>Программа в очно-заочной форме</t>
  </si>
  <si>
    <t>Объем муниципального задания ПФ ДОД, человеко-часов</t>
  </si>
  <si>
    <t>Количество часов программы, покрываемое сертификатом</t>
  </si>
  <si>
    <t>Количество часов программы, покрываемое сертификатом для детей с ОВЗ</t>
  </si>
  <si>
    <t>* Не может быть менее устанавливаемого для всех детей в возрасте от 5 до 18 лет</t>
  </si>
  <si>
    <t>Число сертификатов с определенным номиналом для  детей от 5 до 18 лет</t>
  </si>
  <si>
    <t>Число сертификатов с определенным номиналом для детей от 5 до 18 лет с ОВЗ</t>
  </si>
  <si>
    <t>Требуемый объем финансового обеспечения по категории ОВЗ, рублей</t>
  </si>
  <si>
    <t>Требуемый объем финансового обеспечения покатегории дети от 5 до 18 лет, рублей</t>
  </si>
  <si>
    <t>Количество часов программы, покрываемое сертификатом для детей по категории</t>
  </si>
  <si>
    <t>Коэффициент к дополнительной категории</t>
  </si>
  <si>
    <t>В том числе на гранты в форме субсидий (допустимое значение от 2% до 10%)</t>
  </si>
  <si>
    <t>Число сертификатов с определенным номиналом для детей по дополнительной категории</t>
  </si>
  <si>
    <t>Требуемый объем финансового обеспечения по дополнительной категории, рублей</t>
  </si>
  <si>
    <t>Число сертификатов ДО</t>
  </si>
  <si>
    <t>Норматив обеспечения сертификата для  детей от 5 до 18 лет, рублей</t>
  </si>
  <si>
    <t>Норматив обеспечения сертификата для детей от 5 до 18 лет с ОВЗ, рублей*</t>
  </si>
  <si>
    <t>Норматив обеспечения сертификата для детей по дополнительной категории, рублей*</t>
  </si>
  <si>
    <t xml:space="preserve">Наименование учреждений доп.образования </t>
  </si>
  <si>
    <t>Объем финансирования учреждения, всего, рублей</t>
  </si>
  <si>
    <t>2022 год факт на дату заполнения</t>
  </si>
  <si>
    <t>2023 год план</t>
  </si>
  <si>
    <t>Объем финансирования по общеразвивающим программам (не ПФ), рублей</t>
  </si>
  <si>
    <t>Показатели объема мун.задания (не ПФ), чел.часы</t>
  </si>
  <si>
    <t>Учреждение, участвующее в ПФ (официальное краткое наименование)</t>
  </si>
  <si>
    <t>Общеразвивающая программа, полностью или частично НЕ переводимая на ПФ (наименование)</t>
  </si>
  <si>
    <t>Количество учебных недель в периоде</t>
  </si>
  <si>
    <t>Объем муниципального задания на период НЕ по ПФДОД, человеко-часов</t>
  </si>
  <si>
    <t>Кущевский район</t>
  </si>
  <si>
    <t>МАОУ ДО ДТ</t>
  </si>
  <si>
    <t>"Акробатика"6 г</t>
  </si>
  <si>
    <t>"Акробатика" углублен</t>
  </si>
  <si>
    <t>Гимнастика5 г</t>
  </si>
  <si>
    <t>Гимнастика+</t>
  </si>
  <si>
    <t>"Гимнастика" 2 г</t>
  </si>
  <si>
    <t>"Гимнастика"3г</t>
  </si>
  <si>
    <t>"Гимнастика 1 г</t>
  </si>
  <si>
    <t xml:space="preserve">"Художественная гимнастика" </t>
  </si>
  <si>
    <t>"Движение 1г</t>
  </si>
  <si>
    <t>"Движение" 2 г</t>
  </si>
  <si>
    <t>"Движение" 3 г</t>
  </si>
  <si>
    <t>"Движение" 4 г</t>
  </si>
  <si>
    <t>"Движение+" + г</t>
  </si>
  <si>
    <t xml:space="preserve">"Поколение 5+ " </t>
  </si>
  <si>
    <t>"Поколение 7+ " 1</t>
  </si>
  <si>
    <t>"Поколение 7+ "  2</t>
  </si>
  <si>
    <t>"Поколение 7+ " 3</t>
  </si>
  <si>
    <t>"Поколение 7+ "  3</t>
  </si>
  <si>
    <t>"Поколение 7+ " 4</t>
  </si>
  <si>
    <t>"Поколение 7+ "  5</t>
  </si>
  <si>
    <t>"Поколение 0</t>
  </si>
  <si>
    <t>"Ритмическая мозаика" 1 г</t>
  </si>
  <si>
    <t>"Ритмическая мозаика" 2 г</t>
  </si>
  <si>
    <t>Ритмическая мозаика 1 г</t>
  </si>
  <si>
    <t xml:space="preserve">Ритм </t>
  </si>
  <si>
    <t>"Будь в темпе" 1 г</t>
  </si>
  <si>
    <t xml:space="preserve">"Мелодика" </t>
  </si>
  <si>
    <t>"Мелодика"</t>
  </si>
  <si>
    <t>Колибри</t>
  </si>
  <si>
    <t xml:space="preserve">"Акварель+"  </t>
  </si>
  <si>
    <t xml:space="preserve">"Акварель"  </t>
  </si>
  <si>
    <t>"Амигуруми" 1 год</t>
  </si>
  <si>
    <t>"Амигуруми" 2год</t>
  </si>
  <si>
    <t>«Коллаж» 1 год</t>
  </si>
  <si>
    <t>«Коллаж» 2 год</t>
  </si>
  <si>
    <t xml:space="preserve">"Батик+" </t>
  </si>
  <si>
    <t>"Батик+"</t>
  </si>
  <si>
    <t xml:space="preserve">"Золотая нить+" </t>
  </si>
  <si>
    <t>"Золотая нить" 3 г</t>
  </si>
  <si>
    <t>"Золотая нить" 4 г</t>
  </si>
  <si>
    <t>"Каледоскоп" 1</t>
  </si>
  <si>
    <t>"Валяшка" 1</t>
  </si>
  <si>
    <t>"Талантики"1</t>
  </si>
  <si>
    <t>"Талантики"2</t>
  </si>
  <si>
    <t xml:space="preserve">"Мастерицы" </t>
  </si>
  <si>
    <t xml:space="preserve">"Непоседы" </t>
  </si>
  <si>
    <t>"Мастерская юного актера"</t>
  </si>
  <si>
    <t xml:space="preserve">"Оригинальные подарки" </t>
  </si>
  <si>
    <t>"Оригинальные подарки"</t>
  </si>
  <si>
    <t>"Основы графики"</t>
  </si>
  <si>
    <t>"Основы ИЗО" 2</t>
  </si>
  <si>
    <t>"Основы ИЗО" 3</t>
  </si>
  <si>
    <t xml:space="preserve">"Эскиз+" </t>
  </si>
  <si>
    <t>"Эскиз+"</t>
  </si>
  <si>
    <t>"Рукодельница" 1</t>
  </si>
  <si>
    <t>"Рукодельница" 2</t>
  </si>
  <si>
    <t xml:space="preserve">"Рукодельница+" </t>
  </si>
  <si>
    <t>"Тестопластика+  "</t>
  </si>
  <si>
    <t xml:space="preserve">"Тестопластика+" </t>
  </si>
  <si>
    <t>"Тестопластика" 2</t>
  </si>
  <si>
    <t>"Тестопластика " 3</t>
  </si>
  <si>
    <t>"Тестопластика"  3</t>
  </si>
  <si>
    <t>"Тестопластика" 1</t>
  </si>
  <si>
    <t>"Юные дарования" 2</t>
  </si>
  <si>
    <t>"Юные дарования" 3</t>
  </si>
  <si>
    <t>"3D моделирование"</t>
  </si>
  <si>
    <t>"Авиамоделирование"</t>
  </si>
  <si>
    <t>"Юный радиолюбитель"</t>
  </si>
  <si>
    <t>"Время роботов" 1</t>
  </si>
  <si>
    <t>"Время роботов" 2</t>
  </si>
  <si>
    <t>"Время роботов" 3</t>
  </si>
  <si>
    <t>"Время роботов" 4</t>
  </si>
  <si>
    <t>"КОМП"</t>
  </si>
  <si>
    <t>"Мультипликация"</t>
  </si>
  <si>
    <t xml:space="preserve">"Техномир" </t>
  </si>
  <si>
    <t>"Роботенок"</t>
  </si>
  <si>
    <t>"Эксперимент"</t>
  </si>
  <si>
    <t>"Электконик"</t>
  </si>
  <si>
    <t>"Говорун"</t>
  </si>
  <si>
    <t>"Маленькие звезды!" 2</t>
  </si>
  <si>
    <t>"Маленькие звезды!" 1</t>
  </si>
  <si>
    <t>"Маленькие звезды" 1</t>
  </si>
  <si>
    <t>"Маленькие звезды" 2</t>
  </si>
  <si>
    <t>"Учи английский играя"</t>
  </si>
  <si>
    <t>"Перо Жар-птицы" 4</t>
  </si>
  <si>
    <t>"Перо Жар-птицы" 1</t>
  </si>
  <si>
    <t>"Фольклор куб-го казачеста" 1</t>
  </si>
  <si>
    <t>"Познаю мир"</t>
  </si>
  <si>
    <t>"Юный математик" 1</t>
  </si>
  <si>
    <t>"Юный математик" 2</t>
  </si>
  <si>
    <t>"Волейбол"</t>
  </si>
  <si>
    <t>Легкая атлетика</t>
  </si>
  <si>
    <t>Вымпел 5</t>
  </si>
  <si>
    <t>Вымпел 6</t>
  </si>
  <si>
    <t>Казачьи игры</t>
  </si>
  <si>
    <t>"Ратник"</t>
  </si>
  <si>
    <t>"Патриот"</t>
  </si>
  <si>
    <t>МБОУ ДО ЦТ</t>
  </si>
  <si>
    <t>Акварелька</t>
  </si>
  <si>
    <t>Каруселька</t>
  </si>
  <si>
    <t>Мелонга</t>
  </si>
  <si>
    <t>Бусинка</t>
  </si>
  <si>
    <t>Стихия</t>
  </si>
  <si>
    <t>Пластилинка</t>
  </si>
  <si>
    <t>Крепыши</t>
  </si>
  <si>
    <t>Спортик</t>
  </si>
  <si>
    <t>Факел</t>
  </si>
  <si>
    <t>Триумф</t>
  </si>
  <si>
    <t>Страна математики</t>
  </si>
  <si>
    <t>Филолог</t>
  </si>
  <si>
    <t>МБОУ ДО "ДЮСШ "Юниор</t>
  </si>
  <si>
    <t>Дзюдо</t>
  </si>
  <si>
    <t>Настольный теннис</t>
  </si>
  <si>
    <t>Футбол</t>
  </si>
  <si>
    <t>Гандбол</t>
  </si>
  <si>
    <t>Гиревой спорт</t>
  </si>
  <si>
    <t>Непоседы</t>
  </si>
  <si>
    <t>Тестопластика</t>
  </si>
  <si>
    <t>Тестопластика+</t>
  </si>
  <si>
    <t>Эскиз+</t>
  </si>
  <si>
    <t>Золотая нить</t>
  </si>
  <si>
    <t>Золотая нить+</t>
  </si>
  <si>
    <t>Юные дарования</t>
  </si>
  <si>
    <t>Мастерица</t>
  </si>
  <si>
    <t>Волшебный ключик</t>
  </si>
  <si>
    <t>Лучики</t>
  </si>
  <si>
    <t>Ритм</t>
  </si>
  <si>
    <t>Мелодика</t>
  </si>
  <si>
    <t>Говорун</t>
  </si>
  <si>
    <t>Учи английский играя</t>
  </si>
  <si>
    <t>Юный математик</t>
  </si>
  <si>
    <t>Время роботов</t>
  </si>
  <si>
    <t>Эксперимент</t>
  </si>
  <si>
    <t>Удивительный мир</t>
  </si>
  <si>
    <t>Серебрянная нить</t>
  </si>
  <si>
    <t>Эскиз</t>
  </si>
  <si>
    <t>Батик</t>
  </si>
  <si>
    <t>Колибри+</t>
  </si>
  <si>
    <t>Тропинка в рукоделии</t>
  </si>
  <si>
    <t>Рондо6</t>
  </si>
  <si>
    <t>Рондо4</t>
  </si>
  <si>
    <t>Рондо16</t>
  </si>
  <si>
    <t>Грация</t>
  </si>
  <si>
    <t>Родничок</t>
  </si>
  <si>
    <t>Восторг</t>
  </si>
  <si>
    <t>Красочный мир</t>
  </si>
  <si>
    <t>Скетчинг</t>
  </si>
  <si>
    <t>Графический дизайн</t>
  </si>
  <si>
    <t>Художественная лепка</t>
  </si>
  <si>
    <t>Основы фотографики</t>
  </si>
  <si>
    <t>Движение вперед</t>
  </si>
  <si>
    <t>Страна творчества</t>
  </si>
  <si>
    <t>Основы композиции</t>
  </si>
  <si>
    <t>Калейдоскопик</t>
  </si>
  <si>
    <t>Мастерская юного зрителя (театр)</t>
  </si>
  <si>
    <t>Неваляшка</t>
  </si>
  <si>
    <t>Крик</t>
  </si>
  <si>
    <t>Фантазия</t>
  </si>
  <si>
    <t>Муравей</t>
  </si>
  <si>
    <t>естественнонаучная</t>
  </si>
  <si>
    <t>Экологическая мозаика</t>
  </si>
  <si>
    <t>Экология и творчество</t>
  </si>
  <si>
    <t>Зеленая Россия</t>
  </si>
  <si>
    <t>Говорим красиво</t>
  </si>
  <si>
    <t>Smart English 3гр</t>
  </si>
  <si>
    <t>Smart English 5гр</t>
  </si>
  <si>
    <t xml:space="preserve">Smart English 5 </t>
  </si>
  <si>
    <t>Финансовая грамотность</t>
  </si>
  <si>
    <t>Криница</t>
  </si>
  <si>
    <t>Патриот</t>
  </si>
  <si>
    <t xml:space="preserve">Легкая атлетика </t>
  </si>
  <si>
    <t>волейбол</t>
  </si>
  <si>
    <t>Следопыты</t>
  </si>
  <si>
    <t>Истоки</t>
  </si>
  <si>
    <t>Кущевский рубеж</t>
  </si>
  <si>
    <t>Роза ветров</t>
  </si>
  <si>
    <t>Эксперимент+</t>
  </si>
  <si>
    <t>Электроника и робототехника</t>
  </si>
  <si>
    <t>Электроник</t>
  </si>
  <si>
    <t>3D Art</t>
  </si>
  <si>
    <t>Инженерная школа</t>
  </si>
  <si>
    <t>Паперкрафт</t>
  </si>
  <si>
    <t>Робознайка</t>
  </si>
  <si>
    <t>каникулы</t>
  </si>
  <si>
    <t>Lego-Land</t>
  </si>
  <si>
    <t>Robots</t>
  </si>
  <si>
    <t>Летний дрифт</t>
  </si>
  <si>
    <t>Авиамоделирование</t>
  </si>
  <si>
    <t>Радиоклуб</t>
  </si>
  <si>
    <t>КОМП -лето</t>
  </si>
  <si>
    <t>Анимация</t>
  </si>
  <si>
    <t>Авиатор</t>
  </si>
  <si>
    <t>Электроник - лето</t>
  </si>
  <si>
    <t>3д модель</t>
  </si>
  <si>
    <t>робототехника</t>
  </si>
  <si>
    <t>Финлето</t>
  </si>
  <si>
    <t>Happy Summer</t>
  </si>
  <si>
    <t>Разговорный английский</t>
  </si>
  <si>
    <t>говорун в гостях у сказки</t>
  </si>
  <si>
    <t>Наследие</t>
  </si>
  <si>
    <t>Summertime</t>
  </si>
  <si>
    <t>Планета мастеров</t>
  </si>
  <si>
    <t>Экомозаика</t>
  </si>
  <si>
    <t>Летний мир</t>
  </si>
  <si>
    <t>забияки лето</t>
  </si>
  <si>
    <t>движение степные зори</t>
  </si>
  <si>
    <t>мелодика лето</t>
  </si>
  <si>
    <t>Вокальная фантазия+</t>
  </si>
  <si>
    <t>Вокальная фантазия</t>
  </si>
  <si>
    <t>веселые нотки</t>
  </si>
  <si>
    <t>Пластилиновые фантазии</t>
  </si>
  <si>
    <t>Палитра</t>
  </si>
  <si>
    <t>Забияки театр</t>
  </si>
  <si>
    <t>Фотографика</t>
  </si>
  <si>
    <t>Гитара в ансамбле</t>
  </si>
  <si>
    <t>Летний волшебный ключик</t>
  </si>
  <si>
    <t>Джутовая филигрань в дизайне</t>
  </si>
  <si>
    <t>Керамика</t>
  </si>
  <si>
    <t xml:space="preserve">Графика </t>
  </si>
  <si>
    <t>Анималистика в иллюстрации</t>
  </si>
  <si>
    <t>PROбисер</t>
  </si>
  <si>
    <t>Бумажная лоза</t>
  </si>
  <si>
    <t>Поем и танцуем</t>
  </si>
  <si>
    <t>Город мастеров</t>
  </si>
  <si>
    <t>Фейерверг</t>
  </si>
  <si>
    <t>Аквамарин</t>
  </si>
  <si>
    <t>Пленэр</t>
  </si>
  <si>
    <t>Краски лета</t>
  </si>
  <si>
    <t>Самоделкин</t>
  </si>
  <si>
    <t>Движение вперед степные зори</t>
  </si>
  <si>
    <t>Солнечные страна</t>
  </si>
  <si>
    <t>Гимнастика - лето</t>
  </si>
  <si>
    <t>Самоделкин в Степных зорях</t>
  </si>
  <si>
    <t>Экспедиционные дорожки</t>
  </si>
  <si>
    <t>Вымпел - лето</t>
  </si>
  <si>
    <t>Ратник +</t>
  </si>
  <si>
    <t>Умелые ручки</t>
  </si>
  <si>
    <t>Надёжа</t>
  </si>
  <si>
    <t>ВИА</t>
  </si>
  <si>
    <t>Адажио</t>
  </si>
  <si>
    <t>Волшебный бисер</t>
  </si>
  <si>
    <t>Фантазёры</t>
  </si>
  <si>
    <t>Талисман</t>
  </si>
  <si>
    <t>Задоринки</t>
  </si>
  <si>
    <t>Фиеста</t>
  </si>
  <si>
    <t>Ералаш</t>
  </si>
  <si>
    <t>Волшебный пластилин</t>
  </si>
  <si>
    <t>Стиль</t>
  </si>
  <si>
    <t>Почемучки</t>
  </si>
  <si>
    <t>Затейники</t>
  </si>
  <si>
    <t>Шашки</t>
  </si>
  <si>
    <t>Занимательная биология</t>
  </si>
  <si>
    <t>Цветок</t>
  </si>
  <si>
    <t>Эврика</t>
  </si>
  <si>
    <t>Спорт-Данс</t>
  </si>
  <si>
    <t>Поиск</t>
  </si>
  <si>
    <t>Стробоскоп</t>
  </si>
  <si>
    <t>Мир музыки</t>
  </si>
  <si>
    <t>Музыкальное лето</t>
  </si>
  <si>
    <t>Мир бисера</t>
  </si>
  <si>
    <t>Чудесинка</t>
  </si>
  <si>
    <t>Весёлая лепка</t>
  </si>
  <si>
    <t>Бумажная филигрань</t>
  </si>
  <si>
    <t>Весёлый карандаш</t>
  </si>
  <si>
    <t>Зелёная лаборатория</t>
  </si>
  <si>
    <t>Живая планета</t>
  </si>
  <si>
    <t>Основы ландшафтного дизайна</t>
  </si>
  <si>
    <t>Страна головоломок</t>
  </si>
  <si>
    <t>Юный садовод</t>
  </si>
  <si>
    <t>АБВГДейка</t>
  </si>
  <si>
    <t>Русские шашки</t>
  </si>
  <si>
    <t xml:space="preserve">МБОУ ДО ЦТ </t>
  </si>
  <si>
    <t>футбол</t>
  </si>
  <si>
    <t>лёгкая атлетика</t>
  </si>
  <si>
    <t>настольный теннис</t>
  </si>
  <si>
    <t>гиревой спорт</t>
  </si>
  <si>
    <t>гандбол</t>
  </si>
  <si>
    <t>дзюдо</t>
  </si>
  <si>
    <t>МБОУ ДО "ДЮСШ "Юниор"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</si>
</sst>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  <numFmt numFmtId="165" formatCode="#,##0\ &quot;₽&quot;"/>
    <numFmt numFmtId="166" formatCode="0.00_ ;[Red]\-0.00\ "/>
    <numFmt numFmtId="167" formatCode="#,##0_ ;\-#,##0\ "/>
    <numFmt numFmtId="168" formatCode="0.0%"/>
    <numFmt numFmtId="169" formatCode="0.0"/>
  </numFmts>
  <fonts count="33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rgb="FF00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bscript"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 Cyr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7" tint="-0.49998474074526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8" fillId="0" borderId="0"/>
  </cellStyleXfs>
  <cellXfs count="158">
    <xf numFmtId="0" fontId="0" fillId="0" borderId="0" xfId="0"/>
    <xf numFmtId="3" fontId="0" fillId="0" borderId="0" xfId="0" applyNumberForma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0" fillId="3" borderId="1" xfId="0" applyFill="1" applyBorder="1" applyProtection="1">
      <protection locked="0"/>
    </xf>
    <xf numFmtId="43" fontId="0" fillId="0" borderId="1" xfId="1" applyFont="1" applyBorder="1" applyAlignment="1">
      <alignment wrapText="1"/>
    </xf>
    <xf numFmtId="43" fontId="0" fillId="0" borderId="1" xfId="0" applyNumberFormat="1" applyBorder="1"/>
    <xf numFmtId="1" fontId="8" fillId="0" borderId="1" xfId="0" applyNumberFormat="1" applyFont="1" applyBorder="1" applyAlignment="1" applyProtection="1">
      <alignment horizontal="center"/>
      <protection locked="0"/>
    </xf>
    <xf numFmtId="43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43" fontId="0" fillId="0" borderId="0" xfId="1" applyFont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Border="1" applyAlignment="1" applyProtection="1">
      <alignment horizontal="center" vertical="center" wrapText="1"/>
      <protection locked="0"/>
    </xf>
    <xf numFmtId="43" fontId="5" fillId="0" borderId="1" xfId="1" applyFont="1" applyBorder="1" applyAlignment="1">
      <alignment horizontal="center" vertical="center" wrapText="1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3" fontId="0" fillId="3" borderId="1" xfId="1" applyFont="1" applyFill="1" applyBorder="1" applyAlignment="1" applyProtection="1">
      <alignment horizontal="center"/>
      <protection locked="0"/>
    </xf>
    <xf numFmtId="9" fontId="0" fillId="0" borderId="0" xfId="2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/>
    <xf numFmtId="43" fontId="15" fillId="0" borderId="1" xfId="1" applyFont="1" applyBorder="1" applyAlignment="1">
      <alignment horizontal="center" vertical="center" wrapText="1"/>
    </xf>
    <xf numFmtId="43" fontId="16" fillId="0" borderId="1" xfId="0" applyNumberFormat="1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6" fillId="0" borderId="0" xfId="0" applyFont="1"/>
    <xf numFmtId="43" fontId="17" fillId="0" borderId="1" xfId="1" applyFont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41" fontId="0" fillId="0" borderId="1" xfId="1" applyNumberFormat="1" applyFont="1" applyBorder="1" applyAlignment="1">
      <alignment wrapText="1"/>
    </xf>
    <xf numFmtId="43" fontId="8" fillId="0" borderId="1" xfId="1" applyFont="1" applyBorder="1" applyAlignment="1">
      <alignment wrapText="1"/>
    </xf>
    <xf numFmtId="41" fontId="8" fillId="0" borderId="1" xfId="1" applyNumberFormat="1" applyFont="1" applyBorder="1" applyAlignment="1">
      <alignment wrapText="1"/>
    </xf>
    <xf numFmtId="167" fontId="0" fillId="0" borderId="1" xfId="1" applyNumberFormat="1" applyFont="1" applyFill="1" applyBorder="1" applyAlignment="1">
      <alignment wrapText="1"/>
    </xf>
    <xf numFmtId="167" fontId="8" fillId="0" borderId="1" xfId="1" applyNumberFormat="1" applyFont="1" applyBorder="1" applyAlignment="1">
      <alignment wrapText="1"/>
    </xf>
    <xf numFmtId="3" fontId="19" fillId="0" borderId="0" xfId="0" applyNumberFormat="1" applyFont="1" applyAlignment="1" applyProtection="1">
      <alignment horizontal="center" vertical="center" wrapText="1"/>
      <protection locked="0"/>
    </xf>
    <xf numFmtId="2" fontId="0" fillId="5" borderId="1" xfId="0" applyNumberForma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4" fontId="19" fillId="0" borderId="0" xfId="3" applyFont="1" applyAlignment="1" applyProtection="1">
      <alignment horizontal="center" vertical="center" wrapText="1"/>
      <protection locked="0"/>
    </xf>
    <xf numFmtId="44" fontId="4" fillId="0" borderId="0" xfId="3" applyFont="1" applyFill="1" applyAlignment="1" applyProtection="1">
      <alignment horizontal="center" vertical="center" wrapText="1"/>
      <protection locked="0"/>
    </xf>
    <xf numFmtId="44" fontId="0" fillId="0" borderId="0" xfId="3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2" fontId="0" fillId="0" borderId="0" xfId="0" applyNumberFormat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44" fontId="19" fillId="0" borderId="0" xfId="3" applyFont="1" applyAlignment="1" applyProtection="1">
      <alignment horizontal="center" vertical="center" wrapText="1"/>
    </xf>
    <xf numFmtId="3" fontId="0" fillId="2" borderId="0" xfId="0" applyNumberFormat="1" applyFill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/>
    <xf numFmtId="166" fontId="0" fillId="0" borderId="1" xfId="0" applyNumberFormat="1" applyBorder="1" applyAlignment="1" applyProtection="1">
      <alignment horizontal="center" vertical="top" wrapText="1"/>
      <protection locked="0"/>
    </xf>
    <xf numFmtId="166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6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3" fillId="0" borderId="1" xfId="0" applyFont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168" fontId="0" fillId="5" borderId="1" xfId="0" applyNumberFormat="1" applyFill="1" applyBorder="1" applyAlignment="1" applyProtection="1">
      <alignment horizontal="center" vertical="center" wrapText="1"/>
      <protection locked="0"/>
    </xf>
    <xf numFmtId="10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3" applyFont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  <protection locked="0"/>
    </xf>
    <xf numFmtId="44" fontId="4" fillId="3" borderId="1" xfId="3" applyFont="1" applyFill="1" applyBorder="1" applyAlignment="1" applyProtection="1">
      <alignment vertical="center" wrapText="1"/>
      <protection locked="0"/>
    </xf>
    <xf numFmtId="43" fontId="0" fillId="4" borderId="1" xfId="0" applyNumberFormat="1" applyFill="1" applyBorder="1" applyAlignment="1">
      <alignment wrapText="1"/>
    </xf>
    <xf numFmtId="0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0" fillId="3" borderId="1" xfId="0" applyNumberFormat="1" applyFill="1" applyBorder="1" applyAlignment="1" applyProtection="1">
      <alignment horizontal="center" wrapText="1"/>
      <protection locked="0"/>
    </xf>
    <xf numFmtId="3" fontId="0" fillId="3" borderId="1" xfId="0" applyNumberFormat="1" applyFill="1" applyBorder="1" applyAlignment="1" applyProtection="1">
      <alignment horizont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9" fontId="0" fillId="4" borderId="1" xfId="2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0" fontId="0" fillId="0" borderId="0" xfId="0" applyFill="1" applyAlignment="1" applyProtection="1">
      <alignment wrapText="1"/>
      <protection locked="0"/>
    </xf>
    <xf numFmtId="3" fontId="0" fillId="0" borderId="0" xfId="0" applyNumberFormat="1" applyFill="1" applyAlignment="1" applyProtection="1">
      <alignment horizontal="center" vertical="center" wrapText="1"/>
      <protection locked="0"/>
    </xf>
    <xf numFmtId="1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wrapText="1"/>
      <protection locked="0"/>
    </xf>
    <xf numFmtId="164" fontId="0" fillId="0" borderId="0" xfId="0" applyNumberFormat="1" applyFill="1" applyAlignment="1" applyProtection="1">
      <alignment wrapText="1"/>
      <protection locked="0"/>
    </xf>
    <xf numFmtId="0" fontId="20" fillId="0" borderId="0" xfId="0" applyFont="1" applyFill="1" applyAlignment="1" applyProtection="1">
      <alignment wrapText="1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Protection="1">
      <protection locked="0"/>
    </xf>
    <xf numFmtId="0" fontId="26" fillId="3" borderId="3" xfId="0" applyFont="1" applyFill="1" applyBorder="1" applyAlignment="1" applyProtection="1">
      <alignment horizontal="left" vertical="center"/>
      <protection locked="0"/>
    </xf>
    <xf numFmtId="0" fontId="26" fillId="6" borderId="1" xfId="0" applyFont="1" applyFill="1" applyBorder="1" applyAlignment="1" applyProtection="1">
      <alignment horizontal="left" vertical="center"/>
      <protection locked="0"/>
    </xf>
    <xf numFmtId="0" fontId="0" fillId="6" borderId="1" xfId="0" applyFill="1" applyBorder="1" applyProtection="1">
      <protection locked="0"/>
    </xf>
    <xf numFmtId="1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169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0" applyFont="1" applyFill="1" applyBorder="1"/>
    <xf numFmtId="0" fontId="26" fillId="6" borderId="1" xfId="0" applyFont="1" applyFill="1" applyBorder="1" applyAlignment="1" applyProtection="1">
      <alignment horizontal="center"/>
      <protection locked="0"/>
    </xf>
    <xf numFmtId="1" fontId="26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1" fontId="0" fillId="7" borderId="1" xfId="0" applyNumberFormat="1" applyFill="1" applyBorder="1" applyAlignment="1" applyProtection="1">
      <alignment horizontal="center"/>
      <protection locked="0"/>
    </xf>
    <xf numFmtId="0" fontId="26" fillId="3" borderId="1" xfId="0" applyFont="1" applyFill="1" applyBorder="1" applyProtection="1">
      <protection locked="0"/>
    </xf>
    <xf numFmtId="0" fontId="26" fillId="3" borderId="1" xfId="0" applyFont="1" applyFill="1" applyBorder="1" applyAlignment="1" applyProtection="1">
      <alignment horizontal="center"/>
      <protection locked="0"/>
    </xf>
    <xf numFmtId="1" fontId="26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1" fontId="27" fillId="0" borderId="1" xfId="0" applyNumberFormat="1" applyFont="1" applyBorder="1" applyAlignment="1" applyProtection="1">
      <alignment horizontal="center" vertical="center" wrapText="1"/>
      <protection locked="0"/>
    </xf>
    <xf numFmtId="43" fontId="27" fillId="0" borderId="1" xfId="1" applyFont="1" applyBorder="1" applyAlignment="1" applyProtection="1">
      <alignment horizontal="center" vertical="center" wrapText="1"/>
      <protection locked="0"/>
    </xf>
    <xf numFmtId="43" fontId="27" fillId="0" borderId="1" xfId="1" applyFont="1" applyBorder="1" applyAlignment="1">
      <alignment horizontal="center" vertical="center" wrapText="1"/>
    </xf>
    <xf numFmtId="43" fontId="28" fillId="0" borderId="1" xfId="1" applyFont="1" applyBorder="1" applyAlignment="1">
      <alignment horizontal="center" vertical="center" wrapText="1"/>
    </xf>
    <xf numFmtId="43" fontId="29" fillId="0" borderId="1" xfId="1" applyFont="1" applyBorder="1" applyAlignment="1">
      <alignment horizontal="center" vertical="center" wrapText="1"/>
    </xf>
    <xf numFmtId="0" fontId="1" fillId="6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7" borderId="1" xfId="0" applyFont="1" applyFill="1" applyBorder="1" applyProtection="1">
      <protection locked="0"/>
    </xf>
    <xf numFmtId="0" fontId="30" fillId="3" borderId="1" xfId="0" applyFont="1" applyFill="1" applyBorder="1" applyProtection="1">
      <protection locked="0"/>
    </xf>
    <xf numFmtId="0" fontId="26" fillId="0" borderId="3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2" fontId="20" fillId="0" borderId="0" xfId="0" applyNumberFormat="1" applyFont="1" applyAlignment="1">
      <alignment wrapText="1"/>
    </xf>
    <xf numFmtId="3" fontId="3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0" fontId="26" fillId="0" borderId="1" xfId="0" applyFont="1" applyBorder="1"/>
    <xf numFmtId="0" fontId="26" fillId="3" borderId="1" xfId="0" applyFont="1" applyFill="1" applyBorder="1" applyAlignment="1" applyProtection="1">
      <alignment wrapText="1"/>
      <protection locked="0"/>
    </xf>
    <xf numFmtId="1" fontId="32" fillId="3" borderId="1" xfId="0" applyNumberFormat="1" applyFont="1" applyFill="1" applyBorder="1" applyAlignment="1" applyProtection="1">
      <alignment horizontal="center"/>
      <protection locked="0"/>
    </xf>
    <xf numFmtId="1" fontId="32" fillId="6" borderId="1" xfId="0" applyNumberFormat="1" applyFon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2" fontId="0" fillId="5" borderId="1" xfId="0" applyNumberFormat="1" applyFill="1" applyBorder="1" applyAlignment="1" applyProtection="1">
      <alignment horizontal="center" wrapText="1"/>
      <protection locked="0"/>
    </xf>
    <xf numFmtId="166" fontId="6" fillId="0" borderId="0" xfId="0" applyNumberFormat="1" applyFont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3" fontId="0" fillId="2" borderId="0" xfId="0" applyNumberFormat="1" applyFill="1" applyAlignment="1" applyProtection="1">
      <alignment horizontal="center" vertical="center" wrapText="1"/>
      <protection locked="0"/>
    </xf>
    <xf numFmtId="3" fontId="24" fillId="2" borderId="0" xfId="0" applyNumberFormat="1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44" fontId="4" fillId="0" borderId="1" xfId="3" applyFont="1" applyFill="1" applyBorder="1" applyAlignment="1" applyProtection="1">
      <alignment horizontal="center" vertical="center" wrapText="1"/>
      <protection locked="0"/>
    </xf>
    <xf numFmtId="3" fontId="19" fillId="0" borderId="0" xfId="0" applyNumberFormat="1" applyFont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top" wrapText="1"/>
      <protection locked="0"/>
    </xf>
    <xf numFmtId="4" fontId="0" fillId="3" borderId="1" xfId="0" applyNumberFormat="1" applyFill="1" applyBorder="1" applyAlignment="1" applyProtection="1">
      <alignment horizontal="center" vertical="center" wrapText="1"/>
      <protection locked="0"/>
    </xf>
    <xf numFmtId="49" fontId="11" fillId="0" borderId="0" xfId="1" applyNumberFormat="1" applyFont="1" applyAlignment="1">
      <alignment horizontal="center" wrapText="1"/>
    </xf>
    <xf numFmtId="43" fontId="21" fillId="0" borderId="0" xfId="1" applyFont="1" applyAlignment="1">
      <alignment horizontal="center" wrapText="1"/>
    </xf>
  </cellXfs>
  <cellStyles count="6">
    <cellStyle name="Денежный" xfId="3" builtinId="4"/>
    <cellStyle name="Обычный" xfId="0" builtinId="0"/>
    <cellStyle name="Обычный 2" xfId="4"/>
    <cellStyle name="Обычный 2 2" xfId="5"/>
    <cellStyle name="Процентный" xfId="2" builtinId="5"/>
    <cellStyle name="Финансовый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19</xdr:row>
      <xdr:rowOff>228600</xdr:rowOff>
    </xdr:from>
    <xdr:to>
      <xdr:col>2</xdr:col>
      <xdr:colOff>0</xdr:colOff>
      <xdr:row>20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7A369C3-979C-42EB-AADB-BD397BB1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075" y="6057900"/>
          <a:ext cx="644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215900</xdr:colOff>
      <xdr:row>18</xdr:row>
      <xdr:rowOff>203200</xdr:rowOff>
    </xdr:from>
    <xdr:to>
      <xdr:col>1</xdr:col>
      <xdr:colOff>571500</xdr:colOff>
      <xdr:row>18</xdr:row>
      <xdr:rowOff>431800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473EE33-51BE-4392-82AE-06E797A1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675" y="5461000"/>
          <a:ext cx="355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139700</xdr:colOff>
      <xdr:row>11</xdr:row>
      <xdr:rowOff>187325</xdr:rowOff>
    </xdr:from>
    <xdr:to>
      <xdr:col>1</xdr:col>
      <xdr:colOff>342900</xdr:colOff>
      <xdr:row>11</xdr:row>
      <xdr:rowOff>390525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F6CF181-6D05-49C8-9994-C96036D1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475" y="2873375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7</xdr:row>
      <xdr:rowOff>114300</xdr:rowOff>
    </xdr:from>
    <xdr:to>
      <xdr:col>1</xdr:col>
      <xdr:colOff>609600</xdr:colOff>
      <xdr:row>7</xdr:row>
      <xdr:rowOff>317500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F1BC02B-FDAC-4CBE-8535-7CBDA0BD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81075"/>
          <a:ext cx="381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215900</xdr:colOff>
      <xdr:row>10</xdr:row>
      <xdr:rowOff>241300</xdr:rowOff>
    </xdr:from>
    <xdr:to>
      <xdr:col>1</xdr:col>
      <xdr:colOff>571500</xdr:colOff>
      <xdr:row>10</xdr:row>
      <xdr:rowOff>469900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D841365-9AE7-4126-A433-46A0E458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675" y="2327275"/>
          <a:ext cx="355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203200</xdr:colOff>
      <xdr:row>8</xdr:row>
      <xdr:rowOff>215900</xdr:rowOff>
    </xdr:from>
    <xdr:to>
      <xdr:col>1</xdr:col>
      <xdr:colOff>596900</xdr:colOff>
      <xdr:row>8</xdr:row>
      <xdr:rowOff>431800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5E699FB-6EC5-4ADB-A6DB-23F36025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975" y="1520825"/>
          <a:ext cx="393700" cy="16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203200</xdr:colOff>
      <xdr:row>9</xdr:row>
      <xdr:rowOff>139700</xdr:rowOff>
    </xdr:from>
    <xdr:to>
      <xdr:col>1</xdr:col>
      <xdr:colOff>584200</xdr:colOff>
      <xdr:row>9</xdr:row>
      <xdr:rowOff>393700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257F9ED-D908-47A3-8D2F-52AF2ECB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975" y="1825625"/>
          <a:ext cx="381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72;&#1074;&#1080;&#1075;&#1072;&#1090;&#1086;&#1088;&#1099;/&#1052;&#1045;&#1058;&#1054;&#1044;/&#1057;&#1093;&#1086;&#1076;&#1080;&#1084;&#1086;&#1089;&#1090;&#1100;%20&#1084;&#1086;&#1076;&#1077;&#1083;&#1080;%20&#1055;&#1060;%20&#1087;&#1088;&#1080;%20&#1086;&#1087;&#1088;&#1077;&#1076;&#1077;&#1083;&#1077;&#1085;&#1085;&#1086;&#1084;%20&#1086;&#1073;&#1098;&#1077;&#1084;&#1077;%20&#1092;&#1080;&#1085;&#1072;&#1085;&#1089;&#1080;&#1088;&#1086;&#1074;&#1072;&#1085;&#1080;&#1103;%20(2&#1081;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ормативных затрат"/>
      <sheetName val="Сходимость модели"/>
    </sheetNames>
    <sheetDataSet>
      <sheetData sheetId="0">
        <row r="2">
          <cell r="J2">
            <v>12000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93" zoomScaleNormal="93" workbookViewId="0">
      <selection activeCell="E3" sqref="E3:E5"/>
    </sheetView>
  </sheetViews>
  <sheetFormatPr defaultRowHeight="15.6" x14ac:dyDescent="0.3"/>
  <cols>
    <col min="1" max="1" width="17.3984375" customWidth="1"/>
    <col min="2" max="2" width="13.69921875" customWidth="1"/>
    <col min="3" max="3" width="12.19921875" customWidth="1"/>
    <col min="4" max="4" width="15.19921875" customWidth="1"/>
    <col min="5" max="5" width="12.19921875" customWidth="1"/>
    <col min="6" max="7" width="11.09765625" customWidth="1"/>
  </cols>
  <sheetData>
    <row r="1" spans="1:7" ht="57" customHeight="1" x14ac:dyDescent="0.3">
      <c r="A1" s="137" t="s">
        <v>71</v>
      </c>
      <c r="B1" s="137" t="s">
        <v>72</v>
      </c>
      <c r="C1" s="137"/>
      <c r="D1" s="137" t="s">
        <v>75</v>
      </c>
      <c r="E1" s="137"/>
      <c r="F1" s="137" t="s">
        <v>76</v>
      </c>
      <c r="G1" s="137"/>
    </row>
    <row r="2" spans="1:7" ht="45" customHeight="1" x14ac:dyDescent="0.3">
      <c r="A2" s="137"/>
      <c r="B2" s="131" t="s">
        <v>73</v>
      </c>
      <c r="C2" s="131" t="s">
        <v>74</v>
      </c>
      <c r="D2" s="131" t="s">
        <v>73</v>
      </c>
      <c r="E2" s="131" t="s">
        <v>74</v>
      </c>
      <c r="F2" s="131" t="s">
        <v>73</v>
      </c>
      <c r="G2" s="131" t="s">
        <v>74</v>
      </c>
    </row>
    <row r="3" spans="1:7" x14ac:dyDescent="0.3">
      <c r="A3" s="125" t="s">
        <v>82</v>
      </c>
      <c r="B3" s="127">
        <v>22667300</v>
      </c>
      <c r="C3" s="127">
        <v>25661990</v>
      </c>
      <c r="D3" s="127">
        <v>1916091690</v>
      </c>
      <c r="E3" s="127">
        <v>25661990</v>
      </c>
      <c r="F3" s="127">
        <v>162710</v>
      </c>
      <c r="G3" s="127">
        <v>155723</v>
      </c>
    </row>
    <row r="4" spans="1:7" x14ac:dyDescent="0.3">
      <c r="A4" s="126" t="s">
        <v>180</v>
      </c>
      <c r="B4" s="127">
        <v>15519000</v>
      </c>
      <c r="C4" s="127">
        <v>18094990</v>
      </c>
      <c r="D4" s="127">
        <v>1920508300</v>
      </c>
      <c r="E4" s="127">
        <v>18094990</v>
      </c>
      <c r="F4" s="127">
        <v>70003</v>
      </c>
      <c r="G4" s="127">
        <v>98592</v>
      </c>
    </row>
    <row r="5" spans="1:7" ht="37.5" customHeight="1" x14ac:dyDescent="0.3">
      <c r="A5" s="126" t="s">
        <v>193</v>
      </c>
      <c r="B5" s="127">
        <v>12009200</v>
      </c>
      <c r="C5" s="127">
        <v>10127590</v>
      </c>
      <c r="D5" s="128">
        <v>5426310</v>
      </c>
      <c r="E5" s="127">
        <v>2488000</v>
      </c>
      <c r="F5" s="127">
        <v>30328</v>
      </c>
      <c r="G5" s="127">
        <v>20720</v>
      </c>
    </row>
    <row r="6" spans="1:7" x14ac:dyDescent="0.3">
      <c r="A6" s="56"/>
      <c r="B6" s="56"/>
      <c r="C6" s="56"/>
      <c r="D6" s="56"/>
      <c r="E6" s="56"/>
      <c r="F6" s="56"/>
      <c r="G6" s="56"/>
    </row>
    <row r="7" spans="1:7" x14ac:dyDescent="0.3">
      <c r="A7" s="56"/>
      <c r="B7" s="56"/>
      <c r="C7" s="56"/>
      <c r="D7" s="56"/>
      <c r="E7" s="56"/>
      <c r="F7" s="56"/>
      <c r="G7" s="56"/>
    </row>
    <row r="8" spans="1:7" x14ac:dyDescent="0.3">
      <c r="A8" s="56"/>
      <c r="B8" s="56"/>
      <c r="C8" s="56"/>
      <c r="D8" s="56"/>
      <c r="E8" s="56"/>
      <c r="F8" s="56"/>
      <c r="G8" s="56"/>
    </row>
    <row r="9" spans="1:7" x14ac:dyDescent="0.3">
      <c r="A9" s="56"/>
      <c r="B9" s="56"/>
      <c r="C9" s="56"/>
      <c r="D9" s="56"/>
      <c r="E9" s="56"/>
      <c r="F9" s="56"/>
      <c r="G9" s="56"/>
    </row>
  </sheetData>
  <mergeCells count="4">
    <mergeCell ref="A1:A2"/>
    <mergeCell ref="B1:C1"/>
    <mergeCell ref="D1:E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zoomScale="90" zoomScaleNormal="90" workbookViewId="0">
      <pane ySplit="1" topLeftCell="A191" activePane="bottomLeft" state="frozen"/>
      <selection pane="bottomLeft" activeCell="J1" sqref="J1:J1048576"/>
    </sheetView>
  </sheetViews>
  <sheetFormatPr defaultRowHeight="15.6" x14ac:dyDescent="0.3"/>
  <cols>
    <col min="1" max="1" width="26.19921875" customWidth="1"/>
    <col min="2" max="2" width="21.5" customWidth="1"/>
    <col min="3" max="3" width="22.59765625" customWidth="1"/>
    <col min="4" max="5" width="9.8984375" customWidth="1"/>
    <col min="6" max="6" width="10.69921875" customWidth="1"/>
    <col min="7" max="7" width="8.69921875" customWidth="1"/>
    <col min="8" max="8" width="13.59765625" customWidth="1"/>
    <col min="9" max="9" width="3.19921875" customWidth="1"/>
    <col min="10" max="10" width="15.69921875" hidden="1" customWidth="1"/>
  </cols>
  <sheetData>
    <row r="1" spans="1:10" ht="117" customHeight="1" x14ac:dyDescent="0.3">
      <c r="A1" s="57" t="s">
        <v>77</v>
      </c>
      <c r="B1" s="57" t="s">
        <v>78</v>
      </c>
      <c r="C1" s="13" t="s">
        <v>9</v>
      </c>
      <c r="D1" s="14" t="s">
        <v>8</v>
      </c>
      <c r="E1" s="14" t="s">
        <v>79</v>
      </c>
      <c r="F1" s="14" t="s">
        <v>32</v>
      </c>
      <c r="G1" s="14" t="s">
        <v>28</v>
      </c>
      <c r="H1" s="16" t="s">
        <v>80</v>
      </c>
    </row>
    <row r="2" spans="1:10" x14ac:dyDescent="0.3">
      <c r="A2" s="110" t="s">
        <v>82</v>
      </c>
      <c r="B2" s="110" t="s">
        <v>217</v>
      </c>
      <c r="C2" s="110" t="s">
        <v>5</v>
      </c>
      <c r="D2" s="111">
        <v>36</v>
      </c>
      <c r="E2" s="111">
        <v>20</v>
      </c>
      <c r="F2" s="112">
        <v>4</v>
      </c>
      <c r="G2" s="112">
        <v>30</v>
      </c>
      <c r="H2" s="132">
        <f>E2*F2*G2</f>
        <v>2400</v>
      </c>
      <c r="J2" t="s">
        <v>3</v>
      </c>
    </row>
    <row r="3" spans="1:10" x14ac:dyDescent="0.3">
      <c r="A3" s="110" t="s">
        <v>82</v>
      </c>
      <c r="B3" s="110" t="s">
        <v>217</v>
      </c>
      <c r="C3" s="110" t="s">
        <v>5</v>
      </c>
      <c r="D3" s="111">
        <v>36</v>
      </c>
      <c r="E3" s="111">
        <v>16</v>
      </c>
      <c r="F3" s="112">
        <v>4</v>
      </c>
      <c r="G3" s="112">
        <v>30</v>
      </c>
      <c r="H3" s="132">
        <f t="shared" ref="H3:H66" si="0">E3*F3*G3</f>
        <v>1920</v>
      </c>
      <c r="J3" t="s">
        <v>4</v>
      </c>
    </row>
    <row r="4" spans="1:10" x14ac:dyDescent="0.3">
      <c r="A4" s="110" t="s">
        <v>82</v>
      </c>
      <c r="B4" s="110" t="s">
        <v>218</v>
      </c>
      <c r="C4" s="110" t="s">
        <v>5</v>
      </c>
      <c r="D4" s="111">
        <v>36</v>
      </c>
      <c r="E4" s="111">
        <v>20</v>
      </c>
      <c r="F4" s="112">
        <v>4</v>
      </c>
      <c r="G4" s="112">
        <v>30</v>
      </c>
      <c r="H4" s="132">
        <f t="shared" si="0"/>
        <v>2400</v>
      </c>
      <c r="J4" t="s">
        <v>5</v>
      </c>
    </row>
    <row r="5" spans="1:10" x14ac:dyDescent="0.3">
      <c r="A5" s="110" t="s">
        <v>82</v>
      </c>
      <c r="B5" s="110" t="s">
        <v>218</v>
      </c>
      <c r="C5" s="110" t="s">
        <v>5</v>
      </c>
      <c r="D5" s="111">
        <v>36</v>
      </c>
      <c r="E5" s="111">
        <v>16</v>
      </c>
      <c r="F5" s="112">
        <v>4</v>
      </c>
      <c r="G5" s="112">
        <v>30</v>
      </c>
      <c r="H5" s="132">
        <f t="shared" si="0"/>
        <v>1920</v>
      </c>
      <c r="J5" t="s">
        <v>6</v>
      </c>
    </row>
    <row r="6" spans="1:10" x14ac:dyDescent="0.3">
      <c r="A6" s="110" t="s">
        <v>82</v>
      </c>
      <c r="B6" s="110" t="s">
        <v>219</v>
      </c>
      <c r="C6" s="110" t="s">
        <v>5</v>
      </c>
      <c r="D6" s="111">
        <v>36</v>
      </c>
      <c r="E6" s="111">
        <v>36</v>
      </c>
      <c r="F6" s="112">
        <v>4</v>
      </c>
      <c r="G6" s="112">
        <v>15</v>
      </c>
      <c r="H6" s="132">
        <f t="shared" si="0"/>
        <v>2160</v>
      </c>
      <c r="J6" t="s">
        <v>7</v>
      </c>
    </row>
    <row r="7" spans="1:10" x14ac:dyDescent="0.3">
      <c r="A7" s="110" t="s">
        <v>82</v>
      </c>
      <c r="B7" s="110" t="s">
        <v>111</v>
      </c>
      <c r="C7" s="110" t="s">
        <v>5</v>
      </c>
      <c r="D7" s="111">
        <v>36</v>
      </c>
      <c r="E7" s="111">
        <v>20</v>
      </c>
      <c r="F7" s="112">
        <v>4</v>
      </c>
      <c r="G7" s="112">
        <v>50</v>
      </c>
      <c r="H7" s="132">
        <f t="shared" si="0"/>
        <v>4000</v>
      </c>
      <c r="J7" t="s">
        <v>43</v>
      </c>
    </row>
    <row r="8" spans="1:10" x14ac:dyDescent="0.3">
      <c r="A8" s="110" t="s">
        <v>82</v>
      </c>
      <c r="B8" s="110" t="s">
        <v>220</v>
      </c>
      <c r="C8" s="110" t="s">
        <v>5</v>
      </c>
      <c r="D8" s="111">
        <v>36</v>
      </c>
      <c r="E8" s="111">
        <v>16</v>
      </c>
      <c r="F8" s="112">
        <v>6</v>
      </c>
      <c r="G8" s="112">
        <v>30</v>
      </c>
      <c r="H8" s="132">
        <f t="shared" si="0"/>
        <v>2880</v>
      </c>
    </row>
    <row r="9" spans="1:10" x14ac:dyDescent="0.3">
      <c r="A9" s="110" t="s">
        <v>82</v>
      </c>
      <c r="B9" s="110" t="s">
        <v>221</v>
      </c>
      <c r="C9" s="110" t="s">
        <v>5</v>
      </c>
      <c r="D9" s="111">
        <v>36</v>
      </c>
      <c r="E9" s="111">
        <v>36</v>
      </c>
      <c r="F9" s="112">
        <v>4</v>
      </c>
      <c r="G9" s="112">
        <v>50</v>
      </c>
      <c r="H9" s="132">
        <f t="shared" si="0"/>
        <v>7200</v>
      </c>
    </row>
    <row r="10" spans="1:10" ht="16.5" customHeight="1" x14ac:dyDescent="0.3">
      <c r="A10" s="110" t="s">
        <v>82</v>
      </c>
      <c r="B10" s="110" t="s">
        <v>222</v>
      </c>
      <c r="C10" s="110" t="s">
        <v>5</v>
      </c>
      <c r="D10" s="111">
        <v>36</v>
      </c>
      <c r="E10" s="111">
        <v>36</v>
      </c>
      <c r="F10" s="112">
        <v>2</v>
      </c>
      <c r="G10" s="112">
        <v>15</v>
      </c>
      <c r="H10" s="132">
        <f t="shared" si="0"/>
        <v>1080</v>
      </c>
    </row>
    <row r="11" spans="1:10" ht="16.5" customHeight="1" x14ac:dyDescent="0.3">
      <c r="A11" s="110" t="s">
        <v>82</v>
      </c>
      <c r="B11" s="110" t="s">
        <v>223</v>
      </c>
      <c r="C11" s="110" t="s">
        <v>5</v>
      </c>
      <c r="D11" s="111">
        <v>36</v>
      </c>
      <c r="E11" s="111">
        <v>36</v>
      </c>
      <c r="F11" s="112">
        <v>2</v>
      </c>
      <c r="G11" s="112">
        <v>15</v>
      </c>
      <c r="H11" s="132">
        <f t="shared" si="0"/>
        <v>1080</v>
      </c>
    </row>
    <row r="12" spans="1:10" ht="16.5" customHeight="1" x14ac:dyDescent="0.3">
      <c r="A12" s="110" t="s">
        <v>82</v>
      </c>
      <c r="B12" s="110" t="s">
        <v>224</v>
      </c>
      <c r="C12" s="110" t="s">
        <v>5</v>
      </c>
      <c r="D12" s="111">
        <v>36</v>
      </c>
      <c r="E12" s="111">
        <v>36</v>
      </c>
      <c r="F12" s="112">
        <v>2</v>
      </c>
      <c r="G12" s="112">
        <v>15</v>
      </c>
      <c r="H12" s="132">
        <f t="shared" si="0"/>
        <v>1080</v>
      </c>
    </row>
    <row r="13" spans="1:10" ht="16.5" customHeight="1" x14ac:dyDescent="0.3">
      <c r="A13" s="110" t="s">
        <v>82</v>
      </c>
      <c r="B13" s="110" t="s">
        <v>225</v>
      </c>
      <c r="C13" s="110" t="s">
        <v>5</v>
      </c>
      <c r="D13" s="111">
        <v>36</v>
      </c>
      <c r="E13" s="111">
        <v>20</v>
      </c>
      <c r="F13" s="112">
        <v>4</v>
      </c>
      <c r="G13" s="112">
        <v>15</v>
      </c>
      <c r="H13" s="132">
        <f t="shared" si="0"/>
        <v>1200</v>
      </c>
    </row>
    <row r="14" spans="1:10" ht="16.5" customHeight="1" x14ac:dyDescent="0.3">
      <c r="A14" s="110" t="s">
        <v>82</v>
      </c>
      <c r="B14" s="110" t="s">
        <v>225</v>
      </c>
      <c r="C14" s="110" t="s">
        <v>5</v>
      </c>
      <c r="D14" s="111">
        <v>36</v>
      </c>
      <c r="E14" s="111">
        <v>16</v>
      </c>
      <c r="F14" s="112">
        <v>4</v>
      </c>
      <c r="G14" s="112">
        <v>15</v>
      </c>
      <c r="H14" s="132"/>
    </row>
    <row r="15" spans="1:10" ht="16.5" customHeight="1" x14ac:dyDescent="0.3">
      <c r="A15" s="110" t="s">
        <v>82</v>
      </c>
      <c r="B15" s="110" t="s">
        <v>226</v>
      </c>
      <c r="C15" s="110" t="s">
        <v>5</v>
      </c>
      <c r="D15" s="111">
        <v>36</v>
      </c>
      <c r="E15" s="111">
        <v>20</v>
      </c>
      <c r="F15" s="112">
        <v>2</v>
      </c>
      <c r="G15" s="112">
        <v>28</v>
      </c>
      <c r="H15" s="132">
        <f t="shared" si="0"/>
        <v>1120</v>
      </c>
    </row>
    <row r="16" spans="1:10" ht="16.5" customHeight="1" x14ac:dyDescent="0.3">
      <c r="A16" s="110" t="s">
        <v>82</v>
      </c>
      <c r="B16" s="110" t="s">
        <v>227</v>
      </c>
      <c r="C16" s="110" t="s">
        <v>5</v>
      </c>
      <c r="D16" s="111">
        <v>36</v>
      </c>
      <c r="E16" s="111">
        <v>20</v>
      </c>
      <c r="F16" s="112">
        <v>4</v>
      </c>
      <c r="G16" s="112">
        <v>10</v>
      </c>
      <c r="H16" s="132">
        <f t="shared" si="0"/>
        <v>800</v>
      </c>
    </row>
    <row r="17" spans="1:8" ht="16.5" customHeight="1" x14ac:dyDescent="0.3">
      <c r="A17" s="110" t="s">
        <v>82</v>
      </c>
      <c r="B17" s="110" t="s">
        <v>227</v>
      </c>
      <c r="C17" s="110" t="s">
        <v>5</v>
      </c>
      <c r="D17" s="111">
        <v>36</v>
      </c>
      <c r="E17" s="111">
        <v>16</v>
      </c>
      <c r="F17" s="112">
        <v>4</v>
      </c>
      <c r="G17" s="112">
        <v>12</v>
      </c>
      <c r="H17" s="132">
        <f t="shared" si="0"/>
        <v>768</v>
      </c>
    </row>
    <row r="18" spans="1:8" ht="16.5" customHeight="1" x14ac:dyDescent="0.3">
      <c r="A18" s="110" t="s">
        <v>82</v>
      </c>
      <c r="B18" s="110" t="s">
        <v>228</v>
      </c>
      <c r="C18" s="110" t="s">
        <v>5</v>
      </c>
      <c r="D18" s="111">
        <v>36</v>
      </c>
      <c r="E18" s="111">
        <v>36</v>
      </c>
      <c r="F18" s="112">
        <v>4</v>
      </c>
      <c r="G18" s="112">
        <v>30</v>
      </c>
      <c r="H18" s="132">
        <f t="shared" si="0"/>
        <v>4320</v>
      </c>
    </row>
    <row r="19" spans="1:8" ht="16.5" customHeight="1" x14ac:dyDescent="0.3">
      <c r="A19" s="110" t="s">
        <v>82</v>
      </c>
      <c r="B19" s="110" t="s">
        <v>229</v>
      </c>
      <c r="C19" s="110" t="s">
        <v>5</v>
      </c>
      <c r="D19" s="111">
        <v>36</v>
      </c>
      <c r="E19" s="111">
        <v>20</v>
      </c>
      <c r="F19" s="112">
        <v>2</v>
      </c>
      <c r="G19" s="112">
        <v>30</v>
      </c>
      <c r="H19" s="132">
        <f t="shared" si="0"/>
        <v>1200</v>
      </c>
    </row>
    <row r="20" spans="1:8" ht="16.5" customHeight="1" x14ac:dyDescent="0.3">
      <c r="A20" s="110" t="s">
        <v>82</v>
      </c>
      <c r="B20" s="110" t="s">
        <v>229</v>
      </c>
      <c r="C20" s="110" t="s">
        <v>5</v>
      </c>
      <c r="D20" s="111">
        <v>36</v>
      </c>
      <c r="E20" s="111">
        <v>16</v>
      </c>
      <c r="F20" s="112">
        <v>2</v>
      </c>
      <c r="G20" s="112">
        <v>30</v>
      </c>
      <c r="H20" s="132">
        <f t="shared" si="0"/>
        <v>960</v>
      </c>
    </row>
    <row r="21" spans="1:8" ht="16.5" customHeight="1" x14ac:dyDescent="0.3">
      <c r="A21" s="110" t="s">
        <v>82</v>
      </c>
      <c r="B21" s="110" t="s">
        <v>208</v>
      </c>
      <c r="C21" s="110" t="s">
        <v>5</v>
      </c>
      <c r="D21" s="111">
        <v>36</v>
      </c>
      <c r="E21" s="111">
        <v>20</v>
      </c>
      <c r="F21" s="112">
        <v>2</v>
      </c>
      <c r="G21" s="112">
        <v>3</v>
      </c>
      <c r="H21" s="132">
        <f t="shared" si="0"/>
        <v>120</v>
      </c>
    </row>
    <row r="22" spans="1:8" ht="16.5" customHeight="1" x14ac:dyDescent="0.3">
      <c r="A22" s="110" t="s">
        <v>82</v>
      </c>
      <c r="B22" s="110" t="s">
        <v>207</v>
      </c>
      <c r="C22" s="110" t="s">
        <v>5</v>
      </c>
      <c r="D22" s="111">
        <v>36</v>
      </c>
      <c r="E22" s="111">
        <v>20</v>
      </c>
      <c r="F22" s="112">
        <v>2</v>
      </c>
      <c r="G22" s="112">
        <v>3</v>
      </c>
      <c r="H22" s="132">
        <f t="shared" si="0"/>
        <v>120</v>
      </c>
    </row>
    <row r="23" spans="1:8" ht="16.5" customHeight="1" x14ac:dyDescent="0.3">
      <c r="A23" s="110" t="s">
        <v>82</v>
      </c>
      <c r="B23" s="110" t="s">
        <v>230</v>
      </c>
      <c r="C23" s="110" t="s">
        <v>5</v>
      </c>
      <c r="D23" s="111">
        <v>36</v>
      </c>
      <c r="E23" s="111">
        <v>20</v>
      </c>
      <c r="F23" s="112">
        <v>4</v>
      </c>
      <c r="G23" s="112">
        <v>15</v>
      </c>
      <c r="H23" s="132">
        <f t="shared" si="0"/>
        <v>1200</v>
      </c>
    </row>
    <row r="24" spans="1:8" ht="16.5" customHeight="1" x14ac:dyDescent="0.3">
      <c r="A24" s="110" t="s">
        <v>82</v>
      </c>
      <c r="B24" s="110" t="s">
        <v>230</v>
      </c>
      <c r="C24" s="110" t="s">
        <v>5</v>
      </c>
      <c r="D24" s="111">
        <v>36</v>
      </c>
      <c r="E24" s="111">
        <v>16</v>
      </c>
      <c r="F24" s="112">
        <v>4</v>
      </c>
      <c r="G24" s="112">
        <v>15</v>
      </c>
      <c r="H24" s="132">
        <f t="shared" si="0"/>
        <v>960</v>
      </c>
    </row>
    <row r="25" spans="1:8" ht="16.5" customHeight="1" x14ac:dyDescent="0.3">
      <c r="A25" s="110" t="s">
        <v>82</v>
      </c>
      <c r="B25" s="110" t="s">
        <v>231</v>
      </c>
      <c r="C25" s="110" t="s">
        <v>5</v>
      </c>
      <c r="D25" s="111">
        <v>36</v>
      </c>
      <c r="E25" s="111">
        <v>36</v>
      </c>
      <c r="F25" s="112">
        <v>4</v>
      </c>
      <c r="G25" s="112">
        <v>18</v>
      </c>
      <c r="H25" s="132">
        <f t="shared" si="0"/>
        <v>2592</v>
      </c>
    </row>
    <row r="26" spans="1:8" ht="16.5" customHeight="1" x14ac:dyDescent="0.3">
      <c r="A26" s="110" t="s">
        <v>82</v>
      </c>
      <c r="B26" s="110" t="s">
        <v>232</v>
      </c>
      <c r="C26" s="110" t="s">
        <v>5</v>
      </c>
      <c r="D26" s="111">
        <v>36</v>
      </c>
      <c r="E26" s="111">
        <v>20</v>
      </c>
      <c r="F26" s="112">
        <v>2</v>
      </c>
      <c r="G26" s="112">
        <v>15</v>
      </c>
      <c r="H26" s="132">
        <f t="shared" si="0"/>
        <v>600</v>
      </c>
    </row>
    <row r="27" spans="1:8" ht="16.5" customHeight="1" x14ac:dyDescent="0.3">
      <c r="A27" s="110" t="s">
        <v>82</v>
      </c>
      <c r="B27" s="110" t="s">
        <v>232</v>
      </c>
      <c r="C27" s="110" t="s">
        <v>5</v>
      </c>
      <c r="D27" s="111">
        <v>36</v>
      </c>
      <c r="E27" s="111">
        <v>16</v>
      </c>
      <c r="F27" s="112">
        <v>2</v>
      </c>
      <c r="G27" s="112">
        <v>15</v>
      </c>
      <c r="H27" s="132">
        <f t="shared" si="0"/>
        <v>480</v>
      </c>
    </row>
    <row r="28" spans="1:8" ht="16.5" customHeight="1" x14ac:dyDescent="0.3">
      <c r="A28" s="110" t="s">
        <v>82</v>
      </c>
      <c r="B28" s="110" t="s">
        <v>233</v>
      </c>
      <c r="C28" s="110" t="s">
        <v>5</v>
      </c>
      <c r="D28" s="111">
        <v>36</v>
      </c>
      <c r="E28" s="111">
        <v>20</v>
      </c>
      <c r="F28" s="112">
        <v>4</v>
      </c>
      <c r="G28" s="112">
        <v>15</v>
      </c>
      <c r="H28" s="132">
        <f t="shared" si="0"/>
        <v>1200</v>
      </c>
    </row>
    <row r="29" spans="1:8" ht="16.5" customHeight="1" x14ac:dyDescent="0.3">
      <c r="A29" s="110" t="s">
        <v>82</v>
      </c>
      <c r="B29" s="110" t="s">
        <v>233</v>
      </c>
      <c r="C29" s="110" t="s">
        <v>5</v>
      </c>
      <c r="D29" s="111">
        <v>36</v>
      </c>
      <c r="E29" s="111">
        <v>16</v>
      </c>
      <c r="F29" s="112">
        <v>4</v>
      </c>
      <c r="G29" s="112">
        <v>15</v>
      </c>
      <c r="H29" s="132">
        <f t="shared" si="0"/>
        <v>960</v>
      </c>
    </row>
    <row r="30" spans="1:8" ht="16.5" customHeight="1" x14ac:dyDescent="0.3">
      <c r="A30" s="110" t="s">
        <v>82</v>
      </c>
      <c r="B30" s="110" t="s">
        <v>234</v>
      </c>
      <c r="C30" s="110" t="s">
        <v>5</v>
      </c>
      <c r="D30" s="111">
        <v>36</v>
      </c>
      <c r="E30" s="111">
        <v>20</v>
      </c>
      <c r="F30" s="112">
        <v>4</v>
      </c>
      <c r="G30" s="112">
        <v>15</v>
      </c>
      <c r="H30" s="132">
        <f t="shared" si="0"/>
        <v>1200</v>
      </c>
    </row>
    <row r="31" spans="1:8" ht="16.5" customHeight="1" x14ac:dyDescent="0.3">
      <c r="A31" s="110" t="s">
        <v>82</v>
      </c>
      <c r="B31" s="110" t="s">
        <v>234</v>
      </c>
      <c r="C31" s="110" t="s">
        <v>5</v>
      </c>
      <c r="D31" s="111">
        <v>36</v>
      </c>
      <c r="E31" s="111">
        <v>16</v>
      </c>
      <c r="F31" s="112">
        <v>4</v>
      </c>
      <c r="G31" s="112">
        <v>15</v>
      </c>
      <c r="H31" s="132">
        <f t="shared" si="0"/>
        <v>960</v>
      </c>
    </row>
    <row r="32" spans="1:8" ht="16.5" customHeight="1" x14ac:dyDescent="0.3">
      <c r="A32" s="110" t="s">
        <v>82</v>
      </c>
      <c r="B32" s="110" t="s">
        <v>235</v>
      </c>
      <c r="C32" s="110" t="s">
        <v>5</v>
      </c>
      <c r="D32" s="111">
        <v>36</v>
      </c>
      <c r="E32" s="111">
        <v>20</v>
      </c>
      <c r="F32" s="112">
        <v>2</v>
      </c>
      <c r="G32" s="112">
        <v>15</v>
      </c>
      <c r="H32" s="132">
        <f t="shared" si="0"/>
        <v>600</v>
      </c>
    </row>
    <row r="33" spans="1:8" ht="16.5" customHeight="1" x14ac:dyDescent="0.3">
      <c r="A33" s="110" t="s">
        <v>82</v>
      </c>
      <c r="B33" s="110" t="s">
        <v>235</v>
      </c>
      <c r="C33" s="110" t="s">
        <v>5</v>
      </c>
      <c r="D33" s="111">
        <v>36</v>
      </c>
      <c r="E33" s="111">
        <v>16</v>
      </c>
      <c r="F33" s="112">
        <v>2</v>
      </c>
      <c r="G33" s="112">
        <v>15</v>
      </c>
      <c r="H33" s="132">
        <f t="shared" si="0"/>
        <v>480</v>
      </c>
    </row>
    <row r="34" spans="1:8" ht="16.5" customHeight="1" x14ac:dyDescent="0.3">
      <c r="A34" s="110" t="s">
        <v>82</v>
      </c>
      <c r="B34" s="110" t="s">
        <v>236</v>
      </c>
      <c r="C34" s="110" t="s">
        <v>5</v>
      </c>
      <c r="D34" s="111">
        <v>36</v>
      </c>
      <c r="E34" s="111">
        <v>20</v>
      </c>
      <c r="F34" s="112">
        <v>2</v>
      </c>
      <c r="G34" s="112">
        <v>15</v>
      </c>
      <c r="H34" s="132">
        <f t="shared" si="0"/>
        <v>600</v>
      </c>
    </row>
    <row r="35" spans="1:8" ht="16.5" customHeight="1" x14ac:dyDescent="0.3">
      <c r="A35" s="110" t="s">
        <v>82</v>
      </c>
      <c r="B35" s="110" t="s">
        <v>236</v>
      </c>
      <c r="C35" s="110" t="s">
        <v>5</v>
      </c>
      <c r="D35" s="111">
        <v>36</v>
      </c>
      <c r="E35" s="111">
        <v>16</v>
      </c>
      <c r="F35" s="112">
        <v>2</v>
      </c>
      <c r="G35" s="112">
        <v>15</v>
      </c>
      <c r="H35" s="132">
        <f t="shared" si="0"/>
        <v>480</v>
      </c>
    </row>
    <row r="36" spans="1:8" ht="30.75" customHeight="1" x14ac:dyDescent="0.3">
      <c r="A36" s="110" t="s">
        <v>82</v>
      </c>
      <c r="B36" s="133" t="s">
        <v>237</v>
      </c>
      <c r="C36" s="110" t="s">
        <v>5</v>
      </c>
      <c r="D36" s="111">
        <v>36</v>
      </c>
      <c r="E36" s="111">
        <v>20</v>
      </c>
      <c r="F36" s="112">
        <v>4</v>
      </c>
      <c r="G36" s="112">
        <v>65</v>
      </c>
      <c r="H36" s="132">
        <f t="shared" si="0"/>
        <v>5200</v>
      </c>
    </row>
    <row r="37" spans="1:8" ht="16.5" customHeight="1" x14ac:dyDescent="0.3">
      <c r="A37" s="110" t="s">
        <v>82</v>
      </c>
      <c r="B37" s="110" t="s">
        <v>238</v>
      </c>
      <c r="C37" s="110" t="s">
        <v>5</v>
      </c>
      <c r="D37" s="111">
        <v>36</v>
      </c>
      <c r="E37" s="111">
        <v>20</v>
      </c>
      <c r="F37" s="112">
        <v>4</v>
      </c>
      <c r="G37" s="112">
        <v>15</v>
      </c>
      <c r="H37" s="132">
        <f t="shared" si="0"/>
        <v>1200</v>
      </c>
    </row>
    <row r="38" spans="1:8" ht="16.5" customHeight="1" x14ac:dyDescent="0.3">
      <c r="A38" s="110" t="s">
        <v>82</v>
      </c>
      <c r="B38" s="110" t="s">
        <v>238</v>
      </c>
      <c r="C38" s="110" t="s">
        <v>5</v>
      </c>
      <c r="D38" s="111">
        <v>36</v>
      </c>
      <c r="E38" s="111">
        <v>16</v>
      </c>
      <c r="F38" s="112">
        <v>4</v>
      </c>
      <c r="G38" s="112">
        <v>15</v>
      </c>
      <c r="H38" s="132">
        <f t="shared" si="0"/>
        <v>960</v>
      </c>
    </row>
    <row r="39" spans="1:8" ht="16.5" customHeight="1" x14ac:dyDescent="0.3">
      <c r="A39" s="110" t="s">
        <v>82</v>
      </c>
      <c r="B39" s="110" t="s">
        <v>239</v>
      </c>
      <c r="C39" s="110" t="s">
        <v>5</v>
      </c>
      <c r="D39" s="111">
        <v>36</v>
      </c>
      <c r="E39" s="111">
        <v>20</v>
      </c>
      <c r="F39" s="112">
        <v>6</v>
      </c>
      <c r="G39" s="112">
        <v>15</v>
      </c>
      <c r="H39" s="132">
        <f t="shared" si="0"/>
        <v>1800</v>
      </c>
    </row>
    <row r="40" spans="1:8" ht="16.5" customHeight="1" x14ac:dyDescent="0.3">
      <c r="A40" s="110" t="s">
        <v>82</v>
      </c>
      <c r="B40" s="110" t="s">
        <v>239</v>
      </c>
      <c r="C40" s="110" t="s">
        <v>5</v>
      </c>
      <c r="D40" s="111">
        <v>36</v>
      </c>
      <c r="E40" s="111">
        <v>16</v>
      </c>
      <c r="F40" s="112">
        <v>6</v>
      </c>
      <c r="G40" s="112">
        <v>15</v>
      </c>
      <c r="H40" s="132">
        <f t="shared" si="0"/>
        <v>1440</v>
      </c>
    </row>
    <row r="41" spans="1:8" ht="16.5" customHeight="1" x14ac:dyDescent="0.3">
      <c r="A41" s="110" t="s">
        <v>82</v>
      </c>
      <c r="B41" s="110" t="s">
        <v>240</v>
      </c>
      <c r="C41" s="110" t="s">
        <v>5</v>
      </c>
      <c r="D41" s="111">
        <v>36</v>
      </c>
      <c r="E41" s="111">
        <v>20</v>
      </c>
      <c r="F41" s="112">
        <v>4</v>
      </c>
      <c r="G41" s="112">
        <v>15</v>
      </c>
      <c r="H41" s="132">
        <f t="shared" si="0"/>
        <v>1200</v>
      </c>
    </row>
    <row r="42" spans="1:8" ht="16.5" customHeight="1" x14ac:dyDescent="0.3">
      <c r="A42" s="110" t="s">
        <v>82</v>
      </c>
      <c r="B42" s="110" t="s">
        <v>240</v>
      </c>
      <c r="C42" s="110" t="s">
        <v>5</v>
      </c>
      <c r="D42" s="111">
        <v>36</v>
      </c>
      <c r="E42" s="111">
        <v>16</v>
      </c>
      <c r="F42" s="112">
        <v>4</v>
      </c>
      <c r="G42" s="112">
        <v>15</v>
      </c>
      <c r="H42" s="132">
        <f t="shared" si="0"/>
        <v>960</v>
      </c>
    </row>
    <row r="43" spans="1:8" ht="16.5" customHeight="1" x14ac:dyDescent="0.3">
      <c r="A43" s="110" t="s">
        <v>82</v>
      </c>
      <c r="B43" s="110" t="s">
        <v>209</v>
      </c>
      <c r="C43" s="110" t="s">
        <v>5</v>
      </c>
      <c r="D43" s="111">
        <v>36</v>
      </c>
      <c r="E43" s="111">
        <v>20</v>
      </c>
      <c r="F43" s="112">
        <v>4</v>
      </c>
      <c r="G43" s="112">
        <v>28</v>
      </c>
      <c r="H43" s="132">
        <f t="shared" si="0"/>
        <v>2240</v>
      </c>
    </row>
    <row r="44" spans="1:8" ht="16.5" customHeight="1" x14ac:dyDescent="0.3">
      <c r="A44" s="110" t="s">
        <v>82</v>
      </c>
      <c r="B44" s="110" t="s">
        <v>241</v>
      </c>
      <c r="C44" s="110" t="s">
        <v>242</v>
      </c>
      <c r="D44" s="111">
        <v>36</v>
      </c>
      <c r="E44" s="111">
        <v>20</v>
      </c>
      <c r="F44" s="112">
        <v>4</v>
      </c>
      <c r="G44" s="112">
        <v>15</v>
      </c>
      <c r="H44" s="132">
        <f t="shared" si="0"/>
        <v>1200</v>
      </c>
    </row>
    <row r="45" spans="1:8" ht="16.5" customHeight="1" x14ac:dyDescent="0.3">
      <c r="A45" s="110" t="s">
        <v>82</v>
      </c>
      <c r="B45" s="110" t="s">
        <v>241</v>
      </c>
      <c r="C45" s="110" t="s">
        <v>242</v>
      </c>
      <c r="D45" s="111">
        <v>36</v>
      </c>
      <c r="E45" s="111">
        <v>16</v>
      </c>
      <c r="F45" s="112">
        <v>4</v>
      </c>
      <c r="G45" s="112">
        <v>15</v>
      </c>
      <c r="H45" s="132">
        <f t="shared" si="0"/>
        <v>960</v>
      </c>
    </row>
    <row r="46" spans="1:8" ht="16.5" customHeight="1" x14ac:dyDescent="0.3">
      <c r="A46" s="110" t="s">
        <v>82</v>
      </c>
      <c r="B46" s="110" t="s">
        <v>243</v>
      </c>
      <c r="C46" s="110" t="s">
        <v>242</v>
      </c>
      <c r="D46" s="111">
        <v>36</v>
      </c>
      <c r="E46" s="111">
        <v>20</v>
      </c>
      <c r="F46" s="112">
        <v>2</v>
      </c>
      <c r="G46" s="112">
        <v>15</v>
      </c>
      <c r="H46" s="132">
        <f t="shared" si="0"/>
        <v>600</v>
      </c>
    </row>
    <row r="47" spans="1:8" ht="16.5" customHeight="1" x14ac:dyDescent="0.3">
      <c r="A47" s="110" t="s">
        <v>82</v>
      </c>
      <c r="B47" s="110" t="s">
        <v>243</v>
      </c>
      <c r="C47" s="110" t="s">
        <v>242</v>
      </c>
      <c r="D47" s="111">
        <v>36</v>
      </c>
      <c r="E47" s="111">
        <v>16</v>
      </c>
      <c r="F47" s="112">
        <v>2</v>
      </c>
      <c r="G47" s="112">
        <v>15</v>
      </c>
      <c r="H47" s="132">
        <f t="shared" si="0"/>
        <v>480</v>
      </c>
    </row>
    <row r="48" spans="1:8" ht="16.5" customHeight="1" x14ac:dyDescent="0.3">
      <c r="A48" s="110" t="s">
        <v>82</v>
      </c>
      <c r="B48" s="110" t="s">
        <v>244</v>
      </c>
      <c r="C48" s="110" t="s">
        <v>242</v>
      </c>
      <c r="D48" s="111">
        <v>36</v>
      </c>
      <c r="E48" s="111">
        <v>20</v>
      </c>
      <c r="F48" s="112">
        <v>2</v>
      </c>
      <c r="G48" s="112">
        <v>15</v>
      </c>
      <c r="H48" s="132">
        <f t="shared" si="0"/>
        <v>600</v>
      </c>
    </row>
    <row r="49" spans="1:8" ht="16.5" customHeight="1" x14ac:dyDescent="0.3">
      <c r="A49" s="110" t="s">
        <v>82</v>
      </c>
      <c r="B49" s="110" t="s">
        <v>244</v>
      </c>
      <c r="C49" s="110" t="s">
        <v>242</v>
      </c>
      <c r="D49" s="111">
        <v>36</v>
      </c>
      <c r="E49" s="111">
        <v>16</v>
      </c>
      <c r="F49" s="112">
        <v>2</v>
      </c>
      <c r="G49" s="112">
        <v>15</v>
      </c>
      <c r="H49" s="132">
        <f t="shared" si="0"/>
        <v>480</v>
      </c>
    </row>
    <row r="50" spans="1:8" ht="16.5" customHeight="1" x14ac:dyDescent="0.3">
      <c r="A50" s="110" t="s">
        <v>82</v>
      </c>
      <c r="B50" s="110" t="s">
        <v>245</v>
      </c>
      <c r="C50" s="110" t="s">
        <v>242</v>
      </c>
      <c r="D50" s="111">
        <v>36</v>
      </c>
      <c r="E50" s="111">
        <v>20</v>
      </c>
      <c r="F50" s="112">
        <v>2</v>
      </c>
      <c r="G50" s="112">
        <v>30</v>
      </c>
      <c r="H50" s="132">
        <f t="shared" si="0"/>
        <v>1200</v>
      </c>
    </row>
    <row r="51" spans="1:8" ht="16.5" customHeight="1" x14ac:dyDescent="0.3">
      <c r="A51" s="110" t="s">
        <v>82</v>
      </c>
      <c r="B51" s="110" t="s">
        <v>245</v>
      </c>
      <c r="C51" s="110" t="s">
        <v>242</v>
      </c>
      <c r="D51" s="111">
        <v>36</v>
      </c>
      <c r="E51" s="111">
        <v>16</v>
      </c>
      <c r="F51" s="112">
        <v>2</v>
      </c>
      <c r="G51" s="112">
        <v>30</v>
      </c>
      <c r="H51" s="132">
        <f t="shared" si="0"/>
        <v>960</v>
      </c>
    </row>
    <row r="52" spans="1:8" ht="16.5" customHeight="1" x14ac:dyDescent="0.3">
      <c r="A52" s="110" t="s">
        <v>82</v>
      </c>
      <c r="B52" s="110" t="s">
        <v>246</v>
      </c>
      <c r="C52" s="110" t="s">
        <v>43</v>
      </c>
      <c r="D52" s="111">
        <v>36</v>
      </c>
      <c r="E52" s="111">
        <v>20</v>
      </c>
      <c r="F52" s="112">
        <v>2</v>
      </c>
      <c r="G52" s="112">
        <v>15</v>
      </c>
      <c r="H52" s="132">
        <f t="shared" si="0"/>
        <v>600</v>
      </c>
    </row>
    <row r="53" spans="1:8" ht="16.5" customHeight="1" x14ac:dyDescent="0.3">
      <c r="A53" s="110" t="s">
        <v>82</v>
      </c>
      <c r="B53" s="110" t="s">
        <v>246</v>
      </c>
      <c r="C53" s="110" t="s">
        <v>43</v>
      </c>
      <c r="D53" s="111">
        <v>36</v>
      </c>
      <c r="E53" s="111">
        <v>16</v>
      </c>
      <c r="F53" s="112">
        <v>2</v>
      </c>
      <c r="G53" s="112">
        <v>15</v>
      </c>
      <c r="H53" s="132">
        <f t="shared" si="0"/>
        <v>480</v>
      </c>
    </row>
    <row r="54" spans="1:8" ht="16.5" customHeight="1" x14ac:dyDescent="0.3">
      <c r="A54" s="110" t="s">
        <v>82</v>
      </c>
      <c r="B54" s="110" t="s">
        <v>247</v>
      </c>
      <c r="C54" s="110" t="s">
        <v>43</v>
      </c>
      <c r="D54" s="111">
        <v>36</v>
      </c>
      <c r="E54" s="111">
        <v>20</v>
      </c>
      <c r="F54" s="112">
        <v>2</v>
      </c>
      <c r="G54" s="112">
        <v>15</v>
      </c>
      <c r="H54" s="132">
        <f t="shared" si="0"/>
        <v>600</v>
      </c>
    </row>
    <row r="55" spans="1:8" ht="16.5" customHeight="1" x14ac:dyDescent="0.3">
      <c r="A55" s="110" t="s">
        <v>82</v>
      </c>
      <c r="B55" s="110" t="s">
        <v>248</v>
      </c>
      <c r="C55" s="110" t="s">
        <v>43</v>
      </c>
      <c r="D55" s="111">
        <v>36</v>
      </c>
      <c r="E55" s="111">
        <v>16</v>
      </c>
      <c r="F55" s="112">
        <v>2</v>
      </c>
      <c r="G55" s="112">
        <v>15</v>
      </c>
      <c r="H55" s="132">
        <f t="shared" si="0"/>
        <v>480</v>
      </c>
    </row>
    <row r="56" spans="1:8" ht="16.5" customHeight="1" x14ac:dyDescent="0.3">
      <c r="A56" s="110" t="s">
        <v>82</v>
      </c>
      <c r="B56" s="110" t="s">
        <v>247</v>
      </c>
      <c r="C56" s="110" t="s">
        <v>43</v>
      </c>
      <c r="D56" s="111">
        <v>36</v>
      </c>
      <c r="E56" s="111">
        <v>20</v>
      </c>
      <c r="F56" s="112">
        <v>4</v>
      </c>
      <c r="G56" s="112">
        <v>15</v>
      </c>
      <c r="H56" s="132">
        <f t="shared" si="0"/>
        <v>1200</v>
      </c>
    </row>
    <row r="57" spans="1:8" ht="16.5" customHeight="1" x14ac:dyDescent="0.3">
      <c r="A57" s="110" t="s">
        <v>82</v>
      </c>
      <c r="B57" s="110" t="s">
        <v>249</v>
      </c>
      <c r="C57" s="110" t="s">
        <v>43</v>
      </c>
      <c r="D57" s="111">
        <v>36</v>
      </c>
      <c r="E57" s="111">
        <v>16</v>
      </c>
      <c r="F57" s="112">
        <v>4</v>
      </c>
      <c r="G57" s="112">
        <v>15</v>
      </c>
      <c r="H57" s="132">
        <f t="shared" si="0"/>
        <v>960</v>
      </c>
    </row>
    <row r="58" spans="1:8" ht="16.5" customHeight="1" x14ac:dyDescent="0.3">
      <c r="A58" s="110" t="s">
        <v>82</v>
      </c>
      <c r="B58" s="110" t="s">
        <v>250</v>
      </c>
      <c r="C58" s="110" t="s">
        <v>43</v>
      </c>
      <c r="D58" s="111">
        <v>36</v>
      </c>
      <c r="E58" s="111">
        <v>20</v>
      </c>
      <c r="F58" s="112">
        <v>2</v>
      </c>
      <c r="G58" s="112">
        <v>15</v>
      </c>
      <c r="H58" s="132">
        <f t="shared" si="0"/>
        <v>600</v>
      </c>
    </row>
    <row r="59" spans="1:8" ht="16.5" customHeight="1" x14ac:dyDescent="0.3">
      <c r="A59" s="110" t="s">
        <v>82</v>
      </c>
      <c r="B59" s="110" t="s">
        <v>250</v>
      </c>
      <c r="C59" s="110" t="s">
        <v>43</v>
      </c>
      <c r="D59" s="111">
        <v>36</v>
      </c>
      <c r="E59" s="111">
        <v>16</v>
      </c>
      <c r="F59" s="112">
        <v>2</v>
      </c>
      <c r="G59" s="112">
        <v>15</v>
      </c>
      <c r="H59" s="132">
        <f t="shared" si="0"/>
        <v>480</v>
      </c>
    </row>
    <row r="60" spans="1:8" ht="16.5" customHeight="1" x14ac:dyDescent="0.3">
      <c r="A60" s="110" t="s">
        <v>82</v>
      </c>
      <c r="B60" s="110" t="s">
        <v>251</v>
      </c>
      <c r="C60" s="110" t="s">
        <v>43</v>
      </c>
      <c r="D60" s="111">
        <v>36</v>
      </c>
      <c r="E60" s="111">
        <v>36</v>
      </c>
      <c r="F60" s="112">
        <v>1</v>
      </c>
      <c r="G60" s="112">
        <v>180</v>
      </c>
      <c r="H60" s="132">
        <f t="shared" si="0"/>
        <v>6480</v>
      </c>
    </row>
    <row r="61" spans="1:8" ht="16.5" customHeight="1" x14ac:dyDescent="0.3">
      <c r="A61" s="110" t="s">
        <v>82</v>
      </c>
      <c r="B61" s="110" t="s">
        <v>252</v>
      </c>
      <c r="C61" s="110" t="s">
        <v>7</v>
      </c>
      <c r="D61" s="111">
        <v>36</v>
      </c>
      <c r="E61" s="111">
        <v>20</v>
      </c>
      <c r="F61" s="112">
        <v>2</v>
      </c>
      <c r="G61" s="112">
        <v>15</v>
      </c>
      <c r="H61" s="132">
        <f t="shared" si="0"/>
        <v>600</v>
      </c>
    </row>
    <row r="62" spans="1:8" ht="16.5" customHeight="1" x14ac:dyDescent="0.3">
      <c r="A62" s="110" t="s">
        <v>82</v>
      </c>
      <c r="B62" s="110" t="s">
        <v>253</v>
      </c>
      <c r="C62" s="110" t="s">
        <v>7</v>
      </c>
      <c r="D62" s="111">
        <v>36</v>
      </c>
      <c r="E62" s="111">
        <v>20</v>
      </c>
      <c r="F62" s="112">
        <v>2</v>
      </c>
      <c r="G62" s="112">
        <v>16</v>
      </c>
      <c r="H62" s="132">
        <f t="shared" si="0"/>
        <v>640</v>
      </c>
    </row>
    <row r="63" spans="1:8" ht="16.5" customHeight="1" x14ac:dyDescent="0.3">
      <c r="A63" s="110" t="s">
        <v>82</v>
      </c>
      <c r="B63" s="110" t="s">
        <v>254</v>
      </c>
      <c r="C63" s="110" t="s">
        <v>7</v>
      </c>
      <c r="D63" s="111">
        <v>36</v>
      </c>
      <c r="E63" s="111">
        <v>16</v>
      </c>
      <c r="F63" s="112">
        <v>2</v>
      </c>
      <c r="G63" s="112">
        <v>30</v>
      </c>
      <c r="H63" s="132">
        <f t="shared" si="0"/>
        <v>960</v>
      </c>
    </row>
    <row r="64" spans="1:8" ht="16.5" customHeight="1" x14ac:dyDescent="0.3">
      <c r="A64" s="110" t="s">
        <v>82</v>
      </c>
      <c r="B64" s="110" t="s">
        <v>255</v>
      </c>
      <c r="C64" s="110" t="s">
        <v>6</v>
      </c>
      <c r="D64" s="111">
        <v>36</v>
      </c>
      <c r="E64" s="111">
        <v>20</v>
      </c>
      <c r="F64" s="112">
        <v>2</v>
      </c>
      <c r="G64" s="112">
        <v>30</v>
      </c>
      <c r="H64" s="132">
        <f t="shared" si="0"/>
        <v>1200</v>
      </c>
    </row>
    <row r="65" spans="1:8" ht="16.5" customHeight="1" x14ac:dyDescent="0.3">
      <c r="A65" s="110" t="s">
        <v>82</v>
      </c>
      <c r="B65" s="110" t="s">
        <v>255</v>
      </c>
      <c r="C65" s="110" t="s">
        <v>6</v>
      </c>
      <c r="D65" s="111">
        <v>36</v>
      </c>
      <c r="E65" s="111">
        <v>16</v>
      </c>
      <c r="F65" s="112">
        <v>2</v>
      </c>
      <c r="G65" s="112">
        <v>30</v>
      </c>
      <c r="H65" s="132">
        <f t="shared" si="0"/>
        <v>960</v>
      </c>
    </row>
    <row r="66" spans="1:8" ht="16.5" customHeight="1" x14ac:dyDescent="0.3">
      <c r="A66" s="110" t="s">
        <v>82</v>
      </c>
      <c r="B66" s="110" t="s">
        <v>256</v>
      </c>
      <c r="C66" s="110" t="s">
        <v>6</v>
      </c>
      <c r="D66" s="111">
        <v>36</v>
      </c>
      <c r="E66" s="111">
        <v>20</v>
      </c>
      <c r="F66" s="112">
        <v>4</v>
      </c>
      <c r="G66" s="112">
        <v>15</v>
      </c>
      <c r="H66" s="132">
        <f t="shared" si="0"/>
        <v>1200</v>
      </c>
    </row>
    <row r="67" spans="1:8" ht="16.5" customHeight="1" x14ac:dyDescent="0.3">
      <c r="A67" s="110" t="s">
        <v>82</v>
      </c>
      <c r="B67" s="110" t="s">
        <v>256</v>
      </c>
      <c r="C67" s="110" t="s">
        <v>6</v>
      </c>
      <c r="D67" s="111">
        <v>36</v>
      </c>
      <c r="E67" s="111">
        <v>16</v>
      </c>
      <c r="F67" s="112">
        <v>4</v>
      </c>
      <c r="G67" s="112">
        <v>15</v>
      </c>
      <c r="H67" s="132">
        <f t="shared" ref="H67:H138" si="1">E67*F67*G67</f>
        <v>960</v>
      </c>
    </row>
    <row r="68" spans="1:8" ht="16.5" customHeight="1" x14ac:dyDescent="0.3">
      <c r="A68" s="110" t="s">
        <v>82</v>
      </c>
      <c r="B68" s="110" t="s">
        <v>257</v>
      </c>
      <c r="C68" s="110" t="s">
        <v>6</v>
      </c>
      <c r="D68" s="111">
        <v>36</v>
      </c>
      <c r="E68" s="111">
        <v>20</v>
      </c>
      <c r="F68" s="112">
        <v>2</v>
      </c>
      <c r="G68" s="112">
        <v>40</v>
      </c>
      <c r="H68" s="132">
        <f t="shared" si="1"/>
        <v>1600</v>
      </c>
    </row>
    <row r="69" spans="1:8" ht="16.5" customHeight="1" x14ac:dyDescent="0.3">
      <c r="A69" s="110" t="s">
        <v>82</v>
      </c>
      <c r="B69" s="110" t="s">
        <v>257</v>
      </c>
      <c r="C69" s="110" t="s">
        <v>6</v>
      </c>
      <c r="D69" s="111">
        <v>36</v>
      </c>
      <c r="E69" s="111">
        <v>16</v>
      </c>
      <c r="F69" s="112">
        <v>2</v>
      </c>
      <c r="G69" s="112">
        <v>40</v>
      </c>
      <c r="H69" s="132">
        <f t="shared" si="1"/>
        <v>1280</v>
      </c>
    </row>
    <row r="70" spans="1:8" ht="16.5" customHeight="1" x14ac:dyDescent="0.3">
      <c r="A70" s="110" t="s">
        <v>82</v>
      </c>
      <c r="B70" s="110" t="s">
        <v>258</v>
      </c>
      <c r="C70" s="110" t="s">
        <v>6</v>
      </c>
      <c r="D70" s="111">
        <v>36</v>
      </c>
      <c r="E70" s="111">
        <v>36</v>
      </c>
      <c r="F70" s="112">
        <v>4</v>
      </c>
      <c r="G70" s="112">
        <v>15</v>
      </c>
      <c r="H70" s="132">
        <f t="shared" si="1"/>
        <v>2160</v>
      </c>
    </row>
    <row r="71" spans="1:8" ht="16.5" customHeight="1" x14ac:dyDescent="0.3">
      <c r="A71" s="110" t="s">
        <v>82</v>
      </c>
      <c r="B71" s="110" t="s">
        <v>259</v>
      </c>
      <c r="C71" s="110" t="s">
        <v>3</v>
      </c>
      <c r="D71" s="111">
        <v>36</v>
      </c>
      <c r="E71" s="111">
        <v>20</v>
      </c>
      <c r="F71" s="112">
        <v>4</v>
      </c>
      <c r="G71" s="112">
        <v>12</v>
      </c>
      <c r="H71" s="132">
        <f t="shared" si="1"/>
        <v>960</v>
      </c>
    </row>
    <row r="72" spans="1:8" ht="16.5" customHeight="1" x14ac:dyDescent="0.3">
      <c r="A72" s="110" t="s">
        <v>82</v>
      </c>
      <c r="B72" s="110" t="s">
        <v>259</v>
      </c>
      <c r="C72" s="110" t="s">
        <v>3</v>
      </c>
      <c r="D72" s="111">
        <v>36</v>
      </c>
      <c r="E72" s="111">
        <v>16</v>
      </c>
      <c r="F72" s="112">
        <v>4</v>
      </c>
      <c r="G72" s="112">
        <v>12</v>
      </c>
      <c r="H72" s="132">
        <f t="shared" si="1"/>
        <v>768</v>
      </c>
    </row>
    <row r="73" spans="1:8" ht="30.75" customHeight="1" x14ac:dyDescent="0.3">
      <c r="A73" s="110" t="s">
        <v>82</v>
      </c>
      <c r="B73" s="133" t="s">
        <v>260</v>
      </c>
      <c r="C73" s="110" t="s">
        <v>3</v>
      </c>
      <c r="D73" s="111">
        <v>36</v>
      </c>
      <c r="E73" s="111">
        <v>20</v>
      </c>
      <c r="F73" s="112">
        <v>2</v>
      </c>
      <c r="G73" s="112">
        <v>12</v>
      </c>
      <c r="H73" s="132">
        <f t="shared" si="1"/>
        <v>480</v>
      </c>
    </row>
    <row r="74" spans="1:8" ht="29.25" customHeight="1" x14ac:dyDescent="0.3">
      <c r="A74" s="110" t="s">
        <v>82</v>
      </c>
      <c r="B74" s="133" t="s">
        <v>260</v>
      </c>
      <c r="C74" s="110" t="s">
        <v>3</v>
      </c>
      <c r="D74" s="111">
        <v>36</v>
      </c>
      <c r="E74" s="111">
        <v>16</v>
      </c>
      <c r="F74" s="112">
        <v>2</v>
      </c>
      <c r="G74" s="112">
        <v>12</v>
      </c>
      <c r="H74" s="132">
        <f t="shared" si="1"/>
        <v>384</v>
      </c>
    </row>
    <row r="75" spans="1:8" ht="16.5" customHeight="1" x14ac:dyDescent="0.3">
      <c r="A75" s="110" t="s">
        <v>82</v>
      </c>
      <c r="B75" s="110" t="s">
        <v>261</v>
      </c>
      <c r="C75" s="110" t="s">
        <v>3</v>
      </c>
      <c r="D75" s="111">
        <v>36</v>
      </c>
      <c r="E75" s="111">
        <v>20</v>
      </c>
      <c r="F75" s="112">
        <v>4</v>
      </c>
      <c r="G75" s="112">
        <v>15</v>
      </c>
      <c r="H75" s="132">
        <f t="shared" si="1"/>
        <v>1200</v>
      </c>
    </row>
    <row r="76" spans="1:8" ht="16.5" customHeight="1" x14ac:dyDescent="0.3">
      <c r="A76" s="110" t="s">
        <v>82</v>
      </c>
      <c r="B76" s="110" t="s">
        <v>262</v>
      </c>
      <c r="C76" s="110" t="s">
        <v>3</v>
      </c>
      <c r="D76" s="111">
        <v>36</v>
      </c>
      <c r="E76" s="111">
        <v>20</v>
      </c>
      <c r="F76" s="112">
        <v>2</v>
      </c>
      <c r="G76" s="112">
        <v>12</v>
      </c>
      <c r="H76" s="132">
        <f t="shared" si="1"/>
        <v>480</v>
      </c>
    </row>
    <row r="77" spans="1:8" ht="16.5" customHeight="1" x14ac:dyDescent="0.3">
      <c r="A77" s="110" t="s">
        <v>82</v>
      </c>
      <c r="B77" s="110" t="s">
        <v>262</v>
      </c>
      <c r="C77" s="110" t="s">
        <v>3</v>
      </c>
      <c r="D77" s="111">
        <v>36</v>
      </c>
      <c r="E77" s="111">
        <v>16</v>
      </c>
      <c r="F77" s="112">
        <v>2</v>
      </c>
      <c r="G77" s="112">
        <v>12</v>
      </c>
      <c r="H77" s="132">
        <f t="shared" si="1"/>
        <v>384</v>
      </c>
    </row>
    <row r="78" spans="1:8" ht="16.5" customHeight="1" x14ac:dyDescent="0.3">
      <c r="A78" s="110" t="s">
        <v>82</v>
      </c>
      <c r="B78" s="110" t="s">
        <v>263</v>
      </c>
      <c r="C78" s="110" t="s">
        <v>3</v>
      </c>
      <c r="D78" s="111">
        <v>36</v>
      </c>
      <c r="E78" s="111">
        <v>20</v>
      </c>
      <c r="F78" s="112">
        <v>2</v>
      </c>
      <c r="G78" s="112">
        <v>30</v>
      </c>
      <c r="H78" s="132">
        <f t="shared" si="1"/>
        <v>1200</v>
      </c>
    </row>
    <row r="79" spans="1:8" ht="16.5" customHeight="1" x14ac:dyDescent="0.3">
      <c r="A79" s="110" t="s">
        <v>82</v>
      </c>
      <c r="B79" s="110" t="s">
        <v>263</v>
      </c>
      <c r="C79" s="110" t="s">
        <v>3</v>
      </c>
      <c r="D79" s="111">
        <v>36</v>
      </c>
      <c r="E79" s="111">
        <v>16</v>
      </c>
      <c r="F79" s="112">
        <v>2</v>
      </c>
      <c r="G79" s="112">
        <v>30</v>
      </c>
      <c r="H79" s="132">
        <f t="shared" si="1"/>
        <v>960</v>
      </c>
    </row>
    <row r="80" spans="1:8" ht="16.5" customHeight="1" x14ac:dyDescent="0.3">
      <c r="A80" s="110" t="s">
        <v>82</v>
      </c>
      <c r="B80" s="110" t="s">
        <v>264</v>
      </c>
      <c r="C80" s="110" t="s">
        <v>3</v>
      </c>
      <c r="D80" s="111">
        <v>36</v>
      </c>
      <c r="E80" s="111">
        <v>20</v>
      </c>
      <c r="F80" s="112">
        <v>2</v>
      </c>
      <c r="G80" s="112">
        <v>15</v>
      </c>
      <c r="H80" s="132">
        <f t="shared" si="1"/>
        <v>600</v>
      </c>
    </row>
    <row r="81" spans="1:8" ht="16.5" customHeight="1" x14ac:dyDescent="0.3">
      <c r="A81" s="110" t="s">
        <v>82</v>
      </c>
      <c r="B81" s="110" t="s">
        <v>264</v>
      </c>
      <c r="C81" s="110" t="s">
        <v>3</v>
      </c>
      <c r="D81" s="111">
        <v>36</v>
      </c>
      <c r="E81" s="111">
        <v>16</v>
      </c>
      <c r="F81" s="112">
        <v>2</v>
      </c>
      <c r="G81" s="112">
        <v>15</v>
      </c>
      <c r="H81" s="132">
        <f t="shared" si="1"/>
        <v>480</v>
      </c>
    </row>
    <row r="82" spans="1:8" ht="16.5" customHeight="1" x14ac:dyDescent="0.3">
      <c r="A82" s="110" t="s">
        <v>82</v>
      </c>
      <c r="B82" s="110" t="s">
        <v>265</v>
      </c>
      <c r="C82" s="110" t="s">
        <v>3</v>
      </c>
      <c r="D82" s="111">
        <v>36</v>
      </c>
      <c r="E82" s="111">
        <v>20</v>
      </c>
      <c r="F82" s="112">
        <v>2</v>
      </c>
      <c r="G82" s="112">
        <v>12</v>
      </c>
      <c r="H82" s="132">
        <f t="shared" si="1"/>
        <v>480</v>
      </c>
    </row>
    <row r="83" spans="1:8" ht="16.5" customHeight="1" x14ac:dyDescent="0.3">
      <c r="A83" s="110" t="s">
        <v>82</v>
      </c>
      <c r="B83" s="110" t="s">
        <v>266</v>
      </c>
      <c r="C83" s="110" t="s">
        <v>3</v>
      </c>
      <c r="D83" s="111">
        <v>7</v>
      </c>
      <c r="E83" s="111">
        <v>7</v>
      </c>
      <c r="F83" s="112">
        <v>4</v>
      </c>
      <c r="G83" s="112">
        <v>26</v>
      </c>
      <c r="H83" s="132">
        <f t="shared" si="1"/>
        <v>728</v>
      </c>
    </row>
    <row r="84" spans="1:8" ht="16.5" customHeight="1" x14ac:dyDescent="0.3">
      <c r="A84" s="110" t="s">
        <v>82</v>
      </c>
      <c r="B84" s="110" t="s">
        <v>267</v>
      </c>
      <c r="C84" s="110" t="s">
        <v>3</v>
      </c>
      <c r="D84" s="111">
        <v>7</v>
      </c>
      <c r="E84" s="111">
        <v>7</v>
      </c>
      <c r="F84" s="112">
        <v>2</v>
      </c>
      <c r="G84" s="112">
        <v>60</v>
      </c>
      <c r="H84" s="132">
        <f t="shared" si="1"/>
        <v>840</v>
      </c>
    </row>
    <row r="85" spans="1:8" ht="16.5" customHeight="1" x14ac:dyDescent="0.3">
      <c r="A85" s="110" t="s">
        <v>82</v>
      </c>
      <c r="B85" s="110" t="s">
        <v>268</v>
      </c>
      <c r="C85" s="110" t="s">
        <v>3</v>
      </c>
      <c r="D85" s="111">
        <v>7</v>
      </c>
      <c r="E85" s="111">
        <v>7</v>
      </c>
      <c r="F85" s="112">
        <v>3</v>
      </c>
      <c r="G85" s="112">
        <v>45</v>
      </c>
      <c r="H85" s="132">
        <f t="shared" si="1"/>
        <v>945</v>
      </c>
    </row>
    <row r="86" spans="1:8" ht="16.5" customHeight="1" x14ac:dyDescent="0.3">
      <c r="A86" s="110" t="s">
        <v>82</v>
      </c>
      <c r="B86" s="110" t="s">
        <v>269</v>
      </c>
      <c r="C86" s="110" t="s">
        <v>3</v>
      </c>
      <c r="D86" s="111">
        <v>7</v>
      </c>
      <c r="E86" s="111">
        <v>7</v>
      </c>
      <c r="F86" s="112">
        <v>2</v>
      </c>
      <c r="G86" s="112">
        <v>15</v>
      </c>
      <c r="H86" s="132">
        <f t="shared" si="1"/>
        <v>210</v>
      </c>
    </row>
    <row r="87" spans="1:8" ht="16.5" customHeight="1" x14ac:dyDescent="0.3">
      <c r="A87" s="110" t="s">
        <v>82</v>
      </c>
      <c r="B87" s="110" t="s">
        <v>270</v>
      </c>
      <c r="C87" s="110" t="s">
        <v>3</v>
      </c>
      <c r="D87" s="111">
        <v>7</v>
      </c>
      <c r="E87" s="111">
        <v>7</v>
      </c>
      <c r="F87" s="112">
        <v>4</v>
      </c>
      <c r="G87" s="112">
        <v>15</v>
      </c>
      <c r="H87" s="132">
        <f t="shared" si="1"/>
        <v>420</v>
      </c>
    </row>
    <row r="88" spans="1:8" ht="16.5" customHeight="1" x14ac:dyDescent="0.3">
      <c r="A88" s="110" t="s">
        <v>82</v>
      </c>
      <c r="B88" s="110" t="s">
        <v>271</v>
      </c>
      <c r="C88" s="110" t="s">
        <v>3</v>
      </c>
      <c r="D88" s="111">
        <v>7</v>
      </c>
      <c r="E88" s="111">
        <v>7</v>
      </c>
      <c r="F88" s="112">
        <v>4</v>
      </c>
      <c r="G88" s="112">
        <v>15</v>
      </c>
      <c r="H88" s="132">
        <f t="shared" si="1"/>
        <v>420</v>
      </c>
    </row>
    <row r="89" spans="1:8" ht="16.5" customHeight="1" x14ac:dyDescent="0.3">
      <c r="A89" s="110" t="s">
        <v>82</v>
      </c>
      <c r="B89" s="110" t="s">
        <v>272</v>
      </c>
      <c r="C89" s="110" t="s">
        <v>3</v>
      </c>
      <c r="D89" s="111">
        <v>7</v>
      </c>
      <c r="E89" s="111">
        <v>7</v>
      </c>
      <c r="F89" s="112">
        <v>4</v>
      </c>
      <c r="G89" s="112">
        <v>30</v>
      </c>
      <c r="H89" s="132">
        <f t="shared" si="1"/>
        <v>840</v>
      </c>
    </row>
    <row r="90" spans="1:8" ht="16.5" customHeight="1" x14ac:dyDescent="0.3">
      <c r="A90" s="110" t="s">
        <v>82</v>
      </c>
      <c r="B90" s="110" t="s">
        <v>273</v>
      </c>
      <c r="C90" s="110" t="s">
        <v>3</v>
      </c>
      <c r="D90" s="111">
        <v>7</v>
      </c>
      <c r="E90" s="111">
        <v>7</v>
      </c>
      <c r="F90" s="112">
        <v>4</v>
      </c>
      <c r="G90" s="112">
        <v>15</v>
      </c>
      <c r="H90" s="132">
        <f t="shared" si="1"/>
        <v>420</v>
      </c>
    </row>
    <row r="91" spans="1:8" ht="16.5" customHeight="1" x14ac:dyDescent="0.3">
      <c r="A91" s="110" t="s">
        <v>82</v>
      </c>
      <c r="B91" s="110" t="s">
        <v>274</v>
      </c>
      <c r="C91" s="110" t="s">
        <v>3</v>
      </c>
      <c r="D91" s="111">
        <v>7</v>
      </c>
      <c r="E91" s="111">
        <v>7</v>
      </c>
      <c r="F91" s="112">
        <v>4</v>
      </c>
      <c r="G91" s="112">
        <v>30</v>
      </c>
      <c r="H91" s="132">
        <f t="shared" si="1"/>
        <v>840</v>
      </c>
    </row>
    <row r="92" spans="1:8" ht="16.5" customHeight="1" x14ac:dyDescent="0.3">
      <c r="A92" s="110" t="s">
        <v>82</v>
      </c>
      <c r="B92" s="110" t="s">
        <v>275</v>
      </c>
      <c r="C92" s="110" t="s">
        <v>3</v>
      </c>
      <c r="D92" s="111">
        <v>7</v>
      </c>
      <c r="E92" s="111">
        <v>7</v>
      </c>
      <c r="F92" s="112">
        <v>6</v>
      </c>
      <c r="G92" s="112">
        <v>30</v>
      </c>
      <c r="H92" s="132">
        <f t="shared" si="1"/>
        <v>1260</v>
      </c>
    </row>
    <row r="93" spans="1:8" ht="16.5" customHeight="1" x14ac:dyDescent="0.3">
      <c r="A93" s="110" t="s">
        <v>82</v>
      </c>
      <c r="B93" s="110" t="s">
        <v>276</v>
      </c>
      <c r="C93" s="110" t="s">
        <v>3</v>
      </c>
      <c r="D93" s="111">
        <v>7</v>
      </c>
      <c r="E93" s="111">
        <v>7</v>
      </c>
      <c r="F93" s="112">
        <v>3</v>
      </c>
      <c r="G93" s="112">
        <v>30</v>
      </c>
      <c r="H93" s="132">
        <f t="shared" si="1"/>
        <v>630</v>
      </c>
    </row>
    <row r="94" spans="1:8" ht="16.5" customHeight="1" x14ac:dyDescent="0.3">
      <c r="A94" s="110" t="s">
        <v>82</v>
      </c>
      <c r="B94" s="110" t="s">
        <v>277</v>
      </c>
      <c r="C94" s="110" t="s">
        <v>3</v>
      </c>
      <c r="D94" s="111">
        <v>7</v>
      </c>
      <c r="E94" s="111">
        <v>7</v>
      </c>
      <c r="F94" s="112">
        <v>4</v>
      </c>
      <c r="G94" s="112">
        <v>15</v>
      </c>
      <c r="H94" s="132">
        <f t="shared" si="1"/>
        <v>420</v>
      </c>
    </row>
    <row r="95" spans="1:8" ht="16.5" customHeight="1" x14ac:dyDescent="0.3">
      <c r="A95" s="110" t="s">
        <v>82</v>
      </c>
      <c r="B95" s="110" t="s">
        <v>278</v>
      </c>
      <c r="C95" s="110" t="s">
        <v>43</v>
      </c>
      <c r="D95" s="111">
        <v>7</v>
      </c>
      <c r="E95" s="111">
        <v>7</v>
      </c>
      <c r="F95" s="112">
        <v>2</v>
      </c>
      <c r="G95" s="112">
        <v>12</v>
      </c>
      <c r="H95" s="132">
        <f t="shared" si="1"/>
        <v>168</v>
      </c>
    </row>
    <row r="96" spans="1:8" ht="16.5" customHeight="1" x14ac:dyDescent="0.3">
      <c r="A96" s="110" t="s">
        <v>82</v>
      </c>
      <c r="B96" s="110" t="s">
        <v>279</v>
      </c>
      <c r="C96" s="110" t="s">
        <v>43</v>
      </c>
      <c r="D96" s="111">
        <v>7</v>
      </c>
      <c r="E96" s="111">
        <v>7</v>
      </c>
      <c r="F96" s="112">
        <v>4</v>
      </c>
      <c r="G96" s="112">
        <v>30</v>
      </c>
      <c r="H96" s="132">
        <f t="shared" si="1"/>
        <v>840</v>
      </c>
    </row>
    <row r="97" spans="1:8" ht="16.5" customHeight="1" x14ac:dyDescent="0.3">
      <c r="A97" s="110" t="s">
        <v>82</v>
      </c>
      <c r="B97" s="110" t="s">
        <v>280</v>
      </c>
      <c r="C97" s="110" t="s">
        <v>43</v>
      </c>
      <c r="D97" s="111">
        <v>7</v>
      </c>
      <c r="E97" s="111">
        <v>7</v>
      </c>
      <c r="F97" s="112">
        <v>4</v>
      </c>
      <c r="G97" s="112">
        <v>45</v>
      </c>
      <c r="H97" s="132">
        <f t="shared" si="1"/>
        <v>1260</v>
      </c>
    </row>
    <row r="98" spans="1:8" ht="16.5" customHeight="1" x14ac:dyDescent="0.3">
      <c r="A98" s="110" t="s">
        <v>82</v>
      </c>
      <c r="B98" s="110" t="s">
        <v>281</v>
      </c>
      <c r="C98" s="110" t="s">
        <v>43</v>
      </c>
      <c r="D98" s="111">
        <v>7</v>
      </c>
      <c r="E98" s="111">
        <v>7</v>
      </c>
      <c r="F98" s="112">
        <v>5</v>
      </c>
      <c r="G98" s="112">
        <v>30</v>
      </c>
      <c r="H98" s="132">
        <f t="shared" si="1"/>
        <v>1050</v>
      </c>
    </row>
    <row r="99" spans="1:8" ht="16.5" customHeight="1" x14ac:dyDescent="0.3">
      <c r="A99" s="110" t="s">
        <v>82</v>
      </c>
      <c r="B99" s="110" t="s">
        <v>282</v>
      </c>
      <c r="C99" s="110" t="s">
        <v>43</v>
      </c>
      <c r="D99" s="111">
        <v>7</v>
      </c>
      <c r="E99" s="111">
        <v>7</v>
      </c>
      <c r="F99" s="112">
        <v>3</v>
      </c>
      <c r="G99" s="112">
        <v>30</v>
      </c>
      <c r="H99" s="132">
        <f t="shared" si="1"/>
        <v>630</v>
      </c>
    </row>
    <row r="100" spans="1:8" ht="16.5" customHeight="1" x14ac:dyDescent="0.3">
      <c r="A100" s="110" t="s">
        <v>82</v>
      </c>
      <c r="B100" s="110" t="s">
        <v>283</v>
      </c>
      <c r="C100" s="110" t="s">
        <v>43</v>
      </c>
      <c r="D100" s="111">
        <v>7</v>
      </c>
      <c r="E100" s="111">
        <v>7</v>
      </c>
      <c r="F100" s="112">
        <v>6</v>
      </c>
      <c r="G100" s="112">
        <v>15</v>
      </c>
      <c r="H100" s="132">
        <f t="shared" si="1"/>
        <v>630</v>
      </c>
    </row>
    <row r="101" spans="1:8" ht="16.5" customHeight="1" x14ac:dyDescent="0.3">
      <c r="A101" s="110" t="s">
        <v>82</v>
      </c>
      <c r="B101" s="110" t="s">
        <v>284</v>
      </c>
      <c r="C101" s="110" t="s">
        <v>4</v>
      </c>
      <c r="D101" s="111">
        <v>7</v>
      </c>
      <c r="E101" s="111">
        <v>7</v>
      </c>
      <c r="F101" s="112">
        <v>4</v>
      </c>
      <c r="G101" s="112">
        <v>30</v>
      </c>
      <c r="H101" s="132">
        <f t="shared" si="1"/>
        <v>840</v>
      </c>
    </row>
    <row r="102" spans="1:8" ht="16.5" customHeight="1" x14ac:dyDescent="0.3">
      <c r="A102" s="110" t="s">
        <v>82</v>
      </c>
      <c r="B102" s="110" t="s">
        <v>285</v>
      </c>
      <c r="C102" s="110" t="s">
        <v>4</v>
      </c>
      <c r="D102" s="111">
        <v>7</v>
      </c>
      <c r="E102" s="111">
        <v>7</v>
      </c>
      <c r="F102" s="112">
        <v>2</v>
      </c>
      <c r="G102" s="112">
        <v>15</v>
      </c>
      <c r="H102" s="132">
        <f t="shared" si="1"/>
        <v>210</v>
      </c>
    </row>
    <row r="103" spans="1:8" ht="16.5" customHeight="1" x14ac:dyDescent="0.3">
      <c r="A103" s="110" t="s">
        <v>82</v>
      </c>
      <c r="B103" s="110" t="s">
        <v>286</v>
      </c>
      <c r="C103" s="110" t="s">
        <v>4</v>
      </c>
      <c r="D103" s="111">
        <v>7</v>
      </c>
      <c r="E103" s="111">
        <v>7</v>
      </c>
      <c r="F103" s="112">
        <v>2</v>
      </c>
      <c r="G103" s="112">
        <v>12</v>
      </c>
      <c r="H103" s="132">
        <f t="shared" si="1"/>
        <v>168</v>
      </c>
    </row>
    <row r="104" spans="1:8" ht="16.5" customHeight="1" x14ac:dyDescent="0.3">
      <c r="A104" s="110" t="s">
        <v>82</v>
      </c>
      <c r="B104" s="110" t="s">
        <v>287</v>
      </c>
      <c r="C104" s="110" t="s">
        <v>5</v>
      </c>
      <c r="D104" s="111">
        <v>7</v>
      </c>
      <c r="E104" s="111">
        <v>7</v>
      </c>
      <c r="F104" s="112">
        <v>6</v>
      </c>
      <c r="G104" s="112">
        <v>30</v>
      </c>
      <c r="H104" s="132">
        <f t="shared" si="1"/>
        <v>1260</v>
      </c>
    </row>
    <row r="105" spans="1:8" ht="16.5" customHeight="1" x14ac:dyDescent="0.3">
      <c r="A105" s="110" t="s">
        <v>82</v>
      </c>
      <c r="B105" s="110" t="s">
        <v>288</v>
      </c>
      <c r="C105" s="110" t="s">
        <v>5</v>
      </c>
      <c r="D105" s="111">
        <v>7</v>
      </c>
      <c r="E105" s="111">
        <v>7</v>
      </c>
      <c r="F105" s="112">
        <v>6</v>
      </c>
      <c r="G105" s="112">
        <v>30</v>
      </c>
      <c r="H105" s="132">
        <f t="shared" si="1"/>
        <v>1260</v>
      </c>
    </row>
    <row r="106" spans="1:8" ht="16.5" customHeight="1" x14ac:dyDescent="0.3">
      <c r="A106" s="110" t="s">
        <v>82</v>
      </c>
      <c r="B106" s="110" t="s">
        <v>289</v>
      </c>
      <c r="C106" s="110" t="s">
        <v>5</v>
      </c>
      <c r="D106" s="111">
        <v>7</v>
      </c>
      <c r="E106" s="111">
        <v>7</v>
      </c>
      <c r="F106" s="112">
        <v>2</v>
      </c>
      <c r="G106" s="112">
        <v>12</v>
      </c>
      <c r="H106" s="132">
        <f t="shared" si="1"/>
        <v>168</v>
      </c>
    </row>
    <row r="107" spans="1:8" ht="16.5" customHeight="1" x14ac:dyDescent="0.3">
      <c r="A107" s="110" t="s">
        <v>82</v>
      </c>
      <c r="B107" s="110" t="s">
        <v>290</v>
      </c>
      <c r="C107" s="110" t="s">
        <v>5</v>
      </c>
      <c r="D107" s="111">
        <v>7</v>
      </c>
      <c r="E107" s="111">
        <v>7</v>
      </c>
      <c r="F107" s="112">
        <v>4</v>
      </c>
      <c r="G107" s="112">
        <v>15</v>
      </c>
      <c r="H107" s="132">
        <f t="shared" si="1"/>
        <v>420</v>
      </c>
    </row>
    <row r="108" spans="1:8" ht="16.5" customHeight="1" x14ac:dyDescent="0.3">
      <c r="A108" s="110" t="s">
        <v>82</v>
      </c>
      <c r="B108" s="110" t="s">
        <v>291</v>
      </c>
      <c r="C108" s="110" t="s">
        <v>5</v>
      </c>
      <c r="D108" s="111">
        <v>7</v>
      </c>
      <c r="E108" s="111">
        <v>7</v>
      </c>
      <c r="F108" s="112">
        <v>2</v>
      </c>
      <c r="G108" s="112">
        <v>28</v>
      </c>
      <c r="H108" s="132">
        <f t="shared" si="1"/>
        <v>392</v>
      </c>
    </row>
    <row r="109" spans="1:8" ht="16.5" customHeight="1" x14ac:dyDescent="0.3">
      <c r="A109" s="110" t="s">
        <v>82</v>
      </c>
      <c r="B109" s="110" t="s">
        <v>292</v>
      </c>
      <c r="C109" s="110" t="s">
        <v>5</v>
      </c>
      <c r="D109" s="111">
        <v>7</v>
      </c>
      <c r="E109" s="111">
        <v>7</v>
      </c>
      <c r="F109" s="112">
        <v>4</v>
      </c>
      <c r="G109" s="112">
        <v>15</v>
      </c>
      <c r="H109" s="132">
        <f t="shared" si="1"/>
        <v>420</v>
      </c>
    </row>
    <row r="110" spans="1:8" ht="16.5" customHeight="1" x14ac:dyDescent="0.3">
      <c r="A110" s="110" t="s">
        <v>82</v>
      </c>
      <c r="B110" s="110" t="s">
        <v>293</v>
      </c>
      <c r="C110" s="110" t="s">
        <v>5</v>
      </c>
      <c r="D110" s="111">
        <v>7</v>
      </c>
      <c r="E110" s="111">
        <v>7</v>
      </c>
      <c r="F110" s="112">
        <v>4</v>
      </c>
      <c r="G110" s="112">
        <v>12</v>
      </c>
      <c r="H110" s="132">
        <f t="shared" si="1"/>
        <v>336</v>
      </c>
    </row>
    <row r="111" spans="1:8" ht="16.5" customHeight="1" x14ac:dyDescent="0.3">
      <c r="A111" s="110" t="s">
        <v>82</v>
      </c>
      <c r="B111" s="110" t="s">
        <v>294</v>
      </c>
      <c r="C111" s="110" t="s">
        <v>5</v>
      </c>
      <c r="D111" s="111">
        <v>7</v>
      </c>
      <c r="E111" s="111">
        <v>7</v>
      </c>
      <c r="F111" s="112">
        <v>4</v>
      </c>
      <c r="G111" s="112">
        <v>30</v>
      </c>
      <c r="H111" s="132">
        <f t="shared" si="1"/>
        <v>840</v>
      </c>
    </row>
    <row r="112" spans="1:8" ht="16.5" customHeight="1" x14ac:dyDescent="0.3">
      <c r="A112" s="110" t="s">
        <v>82</v>
      </c>
      <c r="B112" s="110" t="s">
        <v>295</v>
      </c>
      <c r="C112" s="110" t="s">
        <v>5</v>
      </c>
      <c r="D112" s="111">
        <v>7</v>
      </c>
      <c r="E112" s="111">
        <v>7</v>
      </c>
      <c r="F112" s="112">
        <v>3</v>
      </c>
      <c r="G112" s="112">
        <v>30</v>
      </c>
      <c r="H112" s="132">
        <f t="shared" si="1"/>
        <v>630</v>
      </c>
    </row>
    <row r="113" spans="1:8" ht="16.5" customHeight="1" x14ac:dyDescent="0.3">
      <c r="A113" s="110" t="s">
        <v>82</v>
      </c>
      <c r="B113" s="110" t="s">
        <v>296</v>
      </c>
      <c r="C113" s="110" t="s">
        <v>5</v>
      </c>
      <c r="D113" s="111">
        <v>7</v>
      </c>
      <c r="E113" s="111">
        <v>7</v>
      </c>
      <c r="F113" s="112">
        <v>6</v>
      </c>
      <c r="G113" s="112">
        <v>15</v>
      </c>
      <c r="H113" s="132">
        <f t="shared" si="1"/>
        <v>630</v>
      </c>
    </row>
    <row r="114" spans="1:8" ht="16.5" customHeight="1" x14ac:dyDescent="0.3">
      <c r="A114" s="110" t="s">
        <v>82</v>
      </c>
      <c r="B114" s="110" t="s">
        <v>297</v>
      </c>
      <c r="C114" s="110" t="s">
        <v>5</v>
      </c>
      <c r="D114" s="111">
        <v>7</v>
      </c>
      <c r="E114" s="111">
        <v>7</v>
      </c>
      <c r="F114" s="112">
        <v>5</v>
      </c>
      <c r="G114" s="112">
        <v>40</v>
      </c>
      <c r="H114" s="132">
        <f t="shared" si="1"/>
        <v>1400</v>
      </c>
    </row>
    <row r="115" spans="1:8" ht="16.5" customHeight="1" x14ac:dyDescent="0.3">
      <c r="A115" s="110" t="s">
        <v>82</v>
      </c>
      <c r="B115" s="110" t="s">
        <v>298</v>
      </c>
      <c r="C115" s="110" t="s">
        <v>5</v>
      </c>
      <c r="D115" s="111">
        <v>7</v>
      </c>
      <c r="E115" s="111">
        <v>7</v>
      </c>
      <c r="F115" s="112">
        <v>3</v>
      </c>
      <c r="G115" s="112">
        <v>3</v>
      </c>
      <c r="H115" s="132">
        <f t="shared" si="1"/>
        <v>63</v>
      </c>
    </row>
    <row r="116" spans="1:8" ht="29.25" customHeight="1" x14ac:dyDescent="0.3">
      <c r="A116" s="110" t="s">
        <v>82</v>
      </c>
      <c r="B116" s="133" t="s">
        <v>299</v>
      </c>
      <c r="C116" s="110" t="s">
        <v>5</v>
      </c>
      <c r="D116" s="111">
        <v>7</v>
      </c>
      <c r="E116" s="111">
        <v>7</v>
      </c>
      <c r="F116" s="112">
        <v>4</v>
      </c>
      <c r="G116" s="112">
        <v>30</v>
      </c>
      <c r="H116" s="132">
        <f t="shared" si="1"/>
        <v>840</v>
      </c>
    </row>
    <row r="117" spans="1:8" ht="16.5" customHeight="1" x14ac:dyDescent="0.3">
      <c r="A117" s="110" t="s">
        <v>82</v>
      </c>
      <c r="B117" s="110" t="s">
        <v>300</v>
      </c>
      <c r="C117" s="110" t="s">
        <v>5</v>
      </c>
      <c r="D117" s="111">
        <v>7</v>
      </c>
      <c r="E117" s="111">
        <v>7</v>
      </c>
      <c r="F117" s="112">
        <v>2</v>
      </c>
      <c r="G117" s="112">
        <v>15</v>
      </c>
      <c r="H117" s="132">
        <f t="shared" si="1"/>
        <v>210</v>
      </c>
    </row>
    <row r="118" spans="1:8" ht="16.5" customHeight="1" x14ac:dyDescent="0.3">
      <c r="A118" s="110" t="s">
        <v>82</v>
      </c>
      <c r="B118" s="110" t="s">
        <v>301</v>
      </c>
      <c r="C118" s="110" t="s">
        <v>5</v>
      </c>
      <c r="D118" s="111">
        <v>7</v>
      </c>
      <c r="E118" s="111">
        <v>7</v>
      </c>
      <c r="F118" s="112">
        <v>4</v>
      </c>
      <c r="G118" s="112">
        <v>30</v>
      </c>
      <c r="H118" s="132">
        <f t="shared" si="1"/>
        <v>840</v>
      </c>
    </row>
    <row r="119" spans="1:8" ht="33.75" customHeight="1" x14ac:dyDescent="0.3">
      <c r="A119" s="110" t="s">
        <v>82</v>
      </c>
      <c r="B119" s="133" t="s">
        <v>302</v>
      </c>
      <c r="C119" s="110" t="s">
        <v>5</v>
      </c>
      <c r="D119" s="111">
        <v>7</v>
      </c>
      <c r="E119" s="111">
        <v>7</v>
      </c>
      <c r="F119" s="112">
        <v>4</v>
      </c>
      <c r="G119" s="112">
        <v>30</v>
      </c>
      <c r="H119" s="132">
        <f t="shared" si="1"/>
        <v>840</v>
      </c>
    </row>
    <row r="120" spans="1:8" ht="16.5" customHeight="1" x14ac:dyDescent="0.3">
      <c r="A120" s="110" t="s">
        <v>82</v>
      </c>
      <c r="B120" s="110" t="s">
        <v>303</v>
      </c>
      <c r="C120" s="110" t="s">
        <v>5</v>
      </c>
      <c r="D120" s="111">
        <v>7</v>
      </c>
      <c r="E120" s="111">
        <v>7</v>
      </c>
      <c r="F120" s="112">
        <v>6</v>
      </c>
      <c r="G120" s="112">
        <v>30</v>
      </c>
      <c r="H120" s="132">
        <f t="shared" si="1"/>
        <v>1260</v>
      </c>
    </row>
    <row r="121" spans="1:8" ht="16.5" customHeight="1" x14ac:dyDescent="0.3">
      <c r="A121" s="110" t="s">
        <v>82</v>
      </c>
      <c r="B121" s="110" t="s">
        <v>304</v>
      </c>
      <c r="C121" s="110" t="s">
        <v>5</v>
      </c>
      <c r="D121" s="111">
        <v>7</v>
      </c>
      <c r="E121" s="111">
        <v>7</v>
      </c>
      <c r="F121" s="112">
        <v>2</v>
      </c>
      <c r="G121" s="112">
        <v>45</v>
      </c>
      <c r="H121" s="132">
        <f t="shared" si="1"/>
        <v>630</v>
      </c>
    </row>
    <row r="122" spans="1:8" ht="16.5" customHeight="1" x14ac:dyDescent="0.3">
      <c r="A122" s="110" t="s">
        <v>82</v>
      </c>
      <c r="B122" s="110" t="s">
        <v>305</v>
      </c>
      <c r="C122" s="110" t="s">
        <v>5</v>
      </c>
      <c r="D122" s="111">
        <v>7</v>
      </c>
      <c r="E122" s="111">
        <v>7</v>
      </c>
      <c r="F122" s="112">
        <v>4</v>
      </c>
      <c r="G122" s="112">
        <v>28</v>
      </c>
      <c r="H122" s="132">
        <f t="shared" si="1"/>
        <v>784</v>
      </c>
    </row>
    <row r="123" spans="1:8" ht="16.5" customHeight="1" x14ac:dyDescent="0.3">
      <c r="A123" s="110" t="s">
        <v>82</v>
      </c>
      <c r="B123" s="110" t="s">
        <v>306</v>
      </c>
      <c r="C123" s="110" t="s">
        <v>5</v>
      </c>
      <c r="D123" s="111">
        <v>7</v>
      </c>
      <c r="E123" s="111">
        <v>7</v>
      </c>
      <c r="F123" s="112">
        <v>4</v>
      </c>
      <c r="G123" s="112">
        <v>50</v>
      </c>
      <c r="H123" s="132">
        <f t="shared" si="1"/>
        <v>1400</v>
      </c>
    </row>
    <row r="124" spans="1:8" ht="16.5" customHeight="1" x14ac:dyDescent="0.3">
      <c r="A124" s="110" t="s">
        <v>82</v>
      </c>
      <c r="B124" s="110" t="s">
        <v>307</v>
      </c>
      <c r="C124" s="110" t="s">
        <v>5</v>
      </c>
      <c r="D124" s="111">
        <v>7</v>
      </c>
      <c r="E124" s="111">
        <v>7</v>
      </c>
      <c r="F124" s="112">
        <v>5</v>
      </c>
      <c r="G124" s="112">
        <v>50</v>
      </c>
      <c r="H124" s="132">
        <f t="shared" si="1"/>
        <v>1750</v>
      </c>
    </row>
    <row r="125" spans="1:8" ht="16.5" customHeight="1" x14ac:dyDescent="0.3">
      <c r="A125" s="110" t="s">
        <v>82</v>
      </c>
      <c r="B125" s="110" t="s">
        <v>308</v>
      </c>
      <c r="C125" s="110" t="s">
        <v>5</v>
      </c>
      <c r="D125" s="111">
        <v>7</v>
      </c>
      <c r="E125" s="111">
        <v>7</v>
      </c>
      <c r="F125" s="112">
        <v>3</v>
      </c>
      <c r="G125" s="112">
        <v>30</v>
      </c>
      <c r="H125" s="132">
        <f t="shared" si="1"/>
        <v>630</v>
      </c>
    </row>
    <row r="126" spans="1:8" ht="16.5" customHeight="1" x14ac:dyDescent="0.3">
      <c r="A126" s="110" t="s">
        <v>82</v>
      </c>
      <c r="B126" s="110" t="s">
        <v>309</v>
      </c>
      <c r="C126" s="110" t="s">
        <v>5</v>
      </c>
      <c r="D126" s="111">
        <v>7</v>
      </c>
      <c r="E126" s="111">
        <v>7</v>
      </c>
      <c r="F126" s="112">
        <v>6</v>
      </c>
      <c r="G126" s="112">
        <v>50</v>
      </c>
      <c r="H126" s="132">
        <f t="shared" si="1"/>
        <v>2100</v>
      </c>
    </row>
    <row r="127" spans="1:8" ht="16.5" customHeight="1" x14ac:dyDescent="0.3">
      <c r="A127" s="110" t="s">
        <v>82</v>
      </c>
      <c r="B127" s="110" t="s">
        <v>310</v>
      </c>
      <c r="C127" s="110" t="s">
        <v>5</v>
      </c>
      <c r="D127" s="111">
        <v>7</v>
      </c>
      <c r="E127" s="111">
        <v>7</v>
      </c>
      <c r="F127" s="112">
        <v>6</v>
      </c>
      <c r="G127" s="112">
        <v>45</v>
      </c>
      <c r="H127" s="132">
        <f t="shared" si="1"/>
        <v>1890</v>
      </c>
    </row>
    <row r="128" spans="1:8" ht="16.5" customHeight="1" x14ac:dyDescent="0.3">
      <c r="A128" s="110" t="s">
        <v>82</v>
      </c>
      <c r="B128" s="110" t="s">
        <v>311</v>
      </c>
      <c r="C128" s="110" t="s">
        <v>5</v>
      </c>
      <c r="D128" s="111">
        <v>7</v>
      </c>
      <c r="E128" s="111">
        <v>7</v>
      </c>
      <c r="F128" s="112">
        <v>6</v>
      </c>
      <c r="G128" s="112">
        <v>80</v>
      </c>
      <c r="H128" s="132">
        <f t="shared" si="1"/>
        <v>3360</v>
      </c>
    </row>
    <row r="129" spans="1:8" ht="16.5" customHeight="1" x14ac:dyDescent="0.3">
      <c r="A129" s="110" t="s">
        <v>82</v>
      </c>
      <c r="B129" s="110" t="s">
        <v>233</v>
      </c>
      <c r="C129" s="110" t="s">
        <v>5</v>
      </c>
      <c r="D129" s="111">
        <v>7</v>
      </c>
      <c r="E129" s="111">
        <v>7</v>
      </c>
      <c r="F129" s="112">
        <v>4</v>
      </c>
      <c r="G129" s="112">
        <v>45</v>
      </c>
      <c r="H129" s="132">
        <f t="shared" si="1"/>
        <v>1260</v>
      </c>
    </row>
    <row r="130" spans="1:8" ht="33.75" customHeight="1" x14ac:dyDescent="0.3">
      <c r="A130" s="110" t="s">
        <v>82</v>
      </c>
      <c r="B130" s="133" t="s">
        <v>312</v>
      </c>
      <c r="C130" s="110" t="s">
        <v>5</v>
      </c>
      <c r="D130" s="111">
        <v>7</v>
      </c>
      <c r="E130" s="111">
        <v>7</v>
      </c>
      <c r="F130" s="112">
        <v>8</v>
      </c>
      <c r="G130" s="112">
        <v>30</v>
      </c>
      <c r="H130" s="132">
        <f t="shared" si="1"/>
        <v>1680</v>
      </c>
    </row>
    <row r="131" spans="1:8" ht="16.5" customHeight="1" x14ac:dyDescent="0.3">
      <c r="A131" s="110" t="s">
        <v>82</v>
      </c>
      <c r="B131" s="110" t="s">
        <v>313</v>
      </c>
      <c r="C131" s="110" t="s">
        <v>5</v>
      </c>
      <c r="D131" s="111">
        <v>7</v>
      </c>
      <c r="E131" s="111">
        <v>7</v>
      </c>
      <c r="F131" s="112">
        <v>6</v>
      </c>
      <c r="G131" s="112">
        <v>45</v>
      </c>
      <c r="H131" s="132">
        <f t="shared" si="1"/>
        <v>1890</v>
      </c>
    </row>
    <row r="132" spans="1:8" ht="16.5" customHeight="1" x14ac:dyDescent="0.3">
      <c r="A132" s="110" t="s">
        <v>82</v>
      </c>
      <c r="B132" s="110" t="s">
        <v>314</v>
      </c>
      <c r="C132" s="110" t="s">
        <v>5</v>
      </c>
      <c r="D132" s="111">
        <v>7</v>
      </c>
      <c r="E132" s="111">
        <v>7</v>
      </c>
      <c r="F132" s="112">
        <v>4</v>
      </c>
      <c r="G132" s="112">
        <v>80</v>
      </c>
      <c r="H132" s="132">
        <f t="shared" si="1"/>
        <v>2240</v>
      </c>
    </row>
    <row r="133" spans="1:8" ht="33" customHeight="1" x14ac:dyDescent="0.3">
      <c r="A133" s="110" t="s">
        <v>82</v>
      </c>
      <c r="B133" s="133" t="s">
        <v>315</v>
      </c>
      <c r="C133" s="110" t="s">
        <v>5</v>
      </c>
      <c r="D133" s="111">
        <v>7</v>
      </c>
      <c r="E133" s="111">
        <v>7</v>
      </c>
      <c r="F133" s="112">
        <v>6</v>
      </c>
      <c r="G133" s="112">
        <v>20</v>
      </c>
      <c r="H133" s="132">
        <f t="shared" si="1"/>
        <v>840</v>
      </c>
    </row>
    <row r="134" spans="1:8" ht="15" customHeight="1" x14ac:dyDescent="0.3">
      <c r="A134" s="110" t="s">
        <v>82</v>
      </c>
      <c r="B134" s="133" t="s">
        <v>255</v>
      </c>
      <c r="C134" s="110" t="s">
        <v>6</v>
      </c>
      <c r="D134" s="111">
        <v>7</v>
      </c>
      <c r="E134" s="111">
        <v>7</v>
      </c>
      <c r="F134" s="112">
        <v>5</v>
      </c>
      <c r="G134" s="112">
        <v>30</v>
      </c>
      <c r="H134" s="132">
        <f t="shared" si="1"/>
        <v>1050</v>
      </c>
    </row>
    <row r="135" spans="1:8" ht="31.5" customHeight="1" x14ac:dyDescent="0.3">
      <c r="A135" s="110" t="s">
        <v>82</v>
      </c>
      <c r="B135" s="133" t="s">
        <v>316</v>
      </c>
      <c r="C135" s="110" t="s">
        <v>6</v>
      </c>
      <c r="D135" s="111">
        <v>7</v>
      </c>
      <c r="E135" s="111">
        <v>7</v>
      </c>
      <c r="F135" s="112">
        <v>8</v>
      </c>
      <c r="G135" s="112">
        <v>30</v>
      </c>
      <c r="H135" s="132">
        <f t="shared" si="1"/>
        <v>1680</v>
      </c>
    </row>
    <row r="136" spans="1:8" ht="16.5" customHeight="1" x14ac:dyDescent="0.3">
      <c r="A136" s="110" t="s">
        <v>82</v>
      </c>
      <c r="B136" s="110" t="s">
        <v>317</v>
      </c>
      <c r="C136" s="110" t="s">
        <v>7</v>
      </c>
      <c r="D136" s="111">
        <v>7</v>
      </c>
      <c r="E136" s="111">
        <v>7</v>
      </c>
      <c r="F136" s="112">
        <v>3</v>
      </c>
      <c r="G136" s="112">
        <v>45</v>
      </c>
      <c r="H136" s="132">
        <f t="shared" si="1"/>
        <v>945</v>
      </c>
    </row>
    <row r="137" spans="1:8" ht="16.5" customHeight="1" x14ac:dyDescent="0.3">
      <c r="A137" s="110" t="s">
        <v>82</v>
      </c>
      <c r="B137" s="110" t="s">
        <v>253</v>
      </c>
      <c r="C137" s="110" t="s">
        <v>7</v>
      </c>
      <c r="D137" s="111">
        <v>7</v>
      </c>
      <c r="E137" s="111">
        <v>7</v>
      </c>
      <c r="F137" s="112">
        <v>4</v>
      </c>
      <c r="G137" s="112">
        <v>30</v>
      </c>
      <c r="H137" s="132">
        <f t="shared" si="1"/>
        <v>840</v>
      </c>
    </row>
    <row r="138" spans="1:8" ht="16.5" customHeight="1" x14ac:dyDescent="0.3">
      <c r="A138" s="110" t="s">
        <v>82</v>
      </c>
      <c r="B138" s="110" t="s">
        <v>318</v>
      </c>
      <c r="C138" s="110" t="s">
        <v>7</v>
      </c>
      <c r="D138" s="111">
        <v>7</v>
      </c>
      <c r="E138" s="111">
        <v>7</v>
      </c>
      <c r="F138" s="112">
        <v>4</v>
      </c>
      <c r="G138" s="112">
        <v>30</v>
      </c>
      <c r="H138" s="132">
        <f t="shared" si="1"/>
        <v>840</v>
      </c>
    </row>
    <row r="139" spans="1:8" ht="16.5" customHeight="1" x14ac:dyDescent="0.3">
      <c r="A139" s="3" t="s">
        <v>180</v>
      </c>
      <c r="B139" s="3" t="s">
        <v>319</v>
      </c>
      <c r="C139" s="3" t="s">
        <v>5</v>
      </c>
      <c r="D139" s="18">
        <v>36</v>
      </c>
      <c r="E139" s="18">
        <v>20</v>
      </c>
      <c r="F139" s="19">
        <v>6</v>
      </c>
      <c r="G139" s="19">
        <v>14</v>
      </c>
      <c r="H139" s="58">
        <f>E139*F139*G139</f>
        <v>1680</v>
      </c>
    </row>
    <row r="140" spans="1:8" ht="16.5" customHeight="1" x14ac:dyDescent="0.3">
      <c r="A140" s="3" t="s">
        <v>180</v>
      </c>
      <c r="B140" s="3" t="s">
        <v>319</v>
      </c>
      <c r="C140" s="3" t="s">
        <v>5</v>
      </c>
      <c r="D140" s="18">
        <v>36</v>
      </c>
      <c r="E140" s="18">
        <v>16</v>
      </c>
      <c r="F140" s="19">
        <v>6</v>
      </c>
      <c r="G140" s="19">
        <v>15</v>
      </c>
      <c r="H140" s="58">
        <f t="shared" ref="H140:H206" si="2">E140*F140*G140</f>
        <v>1440</v>
      </c>
    </row>
    <row r="141" spans="1:8" ht="16.5" customHeight="1" x14ac:dyDescent="0.3">
      <c r="A141" s="3" t="s">
        <v>180</v>
      </c>
      <c r="B141" s="3" t="s">
        <v>320</v>
      </c>
      <c r="C141" s="3" t="s">
        <v>5</v>
      </c>
      <c r="D141" s="18">
        <v>36</v>
      </c>
      <c r="E141" s="18">
        <v>36</v>
      </c>
      <c r="F141" s="19">
        <v>2</v>
      </c>
      <c r="G141" s="19">
        <v>10</v>
      </c>
      <c r="H141" s="58">
        <f t="shared" si="2"/>
        <v>720</v>
      </c>
    </row>
    <row r="142" spans="1:8" ht="16.5" customHeight="1" x14ac:dyDescent="0.3">
      <c r="A142" s="3" t="s">
        <v>180</v>
      </c>
      <c r="B142" s="3" t="s">
        <v>320</v>
      </c>
      <c r="C142" s="3" t="s">
        <v>5</v>
      </c>
      <c r="D142" s="18">
        <v>36</v>
      </c>
      <c r="E142" s="18">
        <v>36</v>
      </c>
      <c r="F142" s="19">
        <v>4</v>
      </c>
      <c r="G142" s="19">
        <v>20</v>
      </c>
      <c r="H142" s="58">
        <f t="shared" si="2"/>
        <v>2880</v>
      </c>
    </row>
    <row r="143" spans="1:8" ht="16.5" customHeight="1" x14ac:dyDescent="0.3">
      <c r="A143" s="3" t="s">
        <v>180</v>
      </c>
      <c r="B143" s="3" t="s">
        <v>199</v>
      </c>
      <c r="C143" s="3" t="s">
        <v>5</v>
      </c>
      <c r="D143" s="18">
        <v>36</v>
      </c>
      <c r="E143" s="18">
        <v>20</v>
      </c>
      <c r="F143" s="19">
        <v>2</v>
      </c>
      <c r="G143" s="19">
        <v>9</v>
      </c>
      <c r="H143" s="58">
        <f t="shared" si="2"/>
        <v>360</v>
      </c>
    </row>
    <row r="144" spans="1:8" ht="16.5" customHeight="1" x14ac:dyDescent="0.3">
      <c r="A144" s="3" t="s">
        <v>180</v>
      </c>
      <c r="B144" s="3" t="s">
        <v>199</v>
      </c>
      <c r="C144" s="3" t="s">
        <v>5</v>
      </c>
      <c r="D144" s="18">
        <v>36</v>
      </c>
      <c r="E144" s="18">
        <v>16</v>
      </c>
      <c r="F144" s="19">
        <v>2</v>
      </c>
      <c r="G144" s="19">
        <v>15</v>
      </c>
      <c r="H144" s="58">
        <f t="shared" si="2"/>
        <v>480</v>
      </c>
    </row>
    <row r="145" spans="1:8" ht="16.5" customHeight="1" x14ac:dyDescent="0.3">
      <c r="A145" s="3" t="s">
        <v>180</v>
      </c>
      <c r="B145" s="3" t="s">
        <v>321</v>
      </c>
      <c r="C145" s="3" t="s">
        <v>5</v>
      </c>
      <c r="D145" s="18">
        <v>36</v>
      </c>
      <c r="E145" s="18">
        <v>36</v>
      </c>
      <c r="F145" s="19">
        <v>8</v>
      </c>
      <c r="G145" s="19">
        <v>17</v>
      </c>
      <c r="H145" s="58">
        <f t="shared" si="2"/>
        <v>4896</v>
      </c>
    </row>
    <row r="146" spans="1:8" ht="16.5" customHeight="1" x14ac:dyDescent="0.3">
      <c r="A146" s="3" t="s">
        <v>180</v>
      </c>
      <c r="B146" s="3" t="s">
        <v>322</v>
      </c>
      <c r="C146" s="3" t="s">
        <v>5</v>
      </c>
      <c r="D146" s="18">
        <v>36</v>
      </c>
      <c r="E146" s="18">
        <v>20</v>
      </c>
      <c r="F146" s="19">
        <v>6</v>
      </c>
      <c r="G146" s="19">
        <v>29</v>
      </c>
      <c r="H146" s="58">
        <f t="shared" si="2"/>
        <v>3480</v>
      </c>
    </row>
    <row r="147" spans="1:8" ht="16.5" customHeight="1" x14ac:dyDescent="0.3">
      <c r="A147" s="3" t="s">
        <v>180</v>
      </c>
      <c r="B147" s="3" t="s">
        <v>322</v>
      </c>
      <c r="C147" s="3" t="s">
        <v>5</v>
      </c>
      <c r="D147" s="18">
        <v>36</v>
      </c>
      <c r="E147" s="18">
        <v>16</v>
      </c>
      <c r="F147" s="19">
        <v>6</v>
      </c>
      <c r="G147" s="19">
        <v>30</v>
      </c>
      <c r="H147" s="58">
        <f t="shared" si="2"/>
        <v>2880</v>
      </c>
    </row>
    <row r="148" spans="1:8" ht="16.5" customHeight="1" x14ac:dyDescent="0.3">
      <c r="A148" s="3" t="s">
        <v>180</v>
      </c>
      <c r="B148" s="3" t="s">
        <v>184</v>
      </c>
      <c r="C148" s="3" t="s">
        <v>5</v>
      </c>
      <c r="D148" s="18">
        <v>36</v>
      </c>
      <c r="E148" s="18">
        <v>20</v>
      </c>
      <c r="F148" s="19">
        <v>6</v>
      </c>
      <c r="G148" s="19">
        <v>10</v>
      </c>
      <c r="H148" s="58">
        <f t="shared" si="2"/>
        <v>1200</v>
      </c>
    </row>
    <row r="149" spans="1:8" ht="16.5" customHeight="1" x14ac:dyDescent="0.3">
      <c r="A149" s="3" t="s">
        <v>180</v>
      </c>
      <c r="B149" s="3" t="s">
        <v>184</v>
      </c>
      <c r="C149" s="3" t="s">
        <v>5</v>
      </c>
      <c r="D149" s="18">
        <v>36</v>
      </c>
      <c r="E149" s="18">
        <v>16</v>
      </c>
      <c r="F149" s="19">
        <v>6</v>
      </c>
      <c r="G149" s="19">
        <v>12</v>
      </c>
      <c r="H149" s="58">
        <f t="shared" si="2"/>
        <v>1152</v>
      </c>
    </row>
    <row r="150" spans="1:8" ht="16.5" customHeight="1" x14ac:dyDescent="0.3">
      <c r="A150" s="3" t="s">
        <v>180</v>
      </c>
      <c r="B150" s="3" t="s">
        <v>184</v>
      </c>
      <c r="C150" s="3" t="s">
        <v>5</v>
      </c>
      <c r="D150" s="18">
        <v>36</v>
      </c>
      <c r="E150" s="18">
        <v>36</v>
      </c>
      <c r="F150" s="19">
        <v>4</v>
      </c>
      <c r="G150" s="19">
        <v>17</v>
      </c>
      <c r="H150" s="58">
        <f t="shared" si="2"/>
        <v>2448</v>
      </c>
    </row>
    <row r="151" spans="1:8" ht="16.5" customHeight="1" x14ac:dyDescent="0.3">
      <c r="A151" s="3" t="s">
        <v>180</v>
      </c>
      <c r="B151" s="3" t="s">
        <v>323</v>
      </c>
      <c r="C151" s="3" t="s">
        <v>5</v>
      </c>
      <c r="D151" s="18">
        <v>36</v>
      </c>
      <c r="E151" s="18">
        <v>20</v>
      </c>
      <c r="F151" s="19">
        <v>4</v>
      </c>
      <c r="G151" s="19">
        <v>6</v>
      </c>
      <c r="H151" s="58">
        <f t="shared" si="2"/>
        <v>480</v>
      </c>
    </row>
    <row r="152" spans="1:8" ht="16.5" customHeight="1" x14ac:dyDescent="0.3">
      <c r="A152" s="3" t="s">
        <v>180</v>
      </c>
      <c r="B152" s="3" t="s">
        <v>323</v>
      </c>
      <c r="C152" s="3" t="s">
        <v>5</v>
      </c>
      <c r="D152" s="18">
        <v>36</v>
      </c>
      <c r="E152" s="18">
        <v>16</v>
      </c>
      <c r="F152" s="19">
        <v>4</v>
      </c>
      <c r="G152" s="19">
        <v>6</v>
      </c>
      <c r="H152" s="58">
        <f t="shared" si="2"/>
        <v>384</v>
      </c>
    </row>
    <row r="153" spans="1:8" ht="16.5" customHeight="1" x14ac:dyDescent="0.3">
      <c r="A153" s="3" t="s">
        <v>180</v>
      </c>
      <c r="B153" s="3" t="s">
        <v>324</v>
      </c>
      <c r="C153" s="3" t="s">
        <v>5</v>
      </c>
      <c r="D153" s="18">
        <v>36</v>
      </c>
      <c r="E153" s="18">
        <v>20</v>
      </c>
      <c r="F153" s="19">
        <v>2</v>
      </c>
      <c r="G153" s="19">
        <v>26</v>
      </c>
      <c r="H153" s="58">
        <f t="shared" si="2"/>
        <v>1040</v>
      </c>
    </row>
    <row r="154" spans="1:8" ht="16.5" customHeight="1" x14ac:dyDescent="0.3">
      <c r="A154" s="3" t="s">
        <v>180</v>
      </c>
      <c r="B154" s="3" t="s">
        <v>324</v>
      </c>
      <c r="C154" s="3" t="s">
        <v>5</v>
      </c>
      <c r="D154" s="18">
        <v>36</v>
      </c>
      <c r="E154" s="18">
        <v>16</v>
      </c>
      <c r="F154" s="19">
        <v>2</v>
      </c>
      <c r="G154" s="19">
        <v>26</v>
      </c>
      <c r="H154" s="58">
        <f t="shared" si="2"/>
        <v>832</v>
      </c>
    </row>
    <row r="155" spans="1:8" ht="16.5" customHeight="1" x14ac:dyDescent="0.3">
      <c r="A155" s="3" t="s">
        <v>180</v>
      </c>
      <c r="B155" s="3" t="s">
        <v>325</v>
      </c>
      <c r="C155" s="3" t="s">
        <v>5</v>
      </c>
      <c r="D155" s="18">
        <v>36</v>
      </c>
      <c r="E155" s="18">
        <v>20</v>
      </c>
      <c r="F155" s="19">
        <v>2</v>
      </c>
      <c r="G155" s="19">
        <v>10</v>
      </c>
      <c r="H155" s="58">
        <f t="shared" si="2"/>
        <v>400</v>
      </c>
    </row>
    <row r="156" spans="1:8" ht="16.5" customHeight="1" x14ac:dyDescent="0.3">
      <c r="A156" s="3" t="s">
        <v>180</v>
      </c>
      <c r="B156" s="3" t="s">
        <v>325</v>
      </c>
      <c r="C156" s="3" t="s">
        <v>5</v>
      </c>
      <c r="D156" s="18">
        <v>36</v>
      </c>
      <c r="E156" s="18">
        <v>16</v>
      </c>
      <c r="F156" s="19">
        <v>2</v>
      </c>
      <c r="G156" s="19">
        <v>10</v>
      </c>
      <c r="H156" s="58">
        <f t="shared" si="2"/>
        <v>320</v>
      </c>
    </row>
    <row r="157" spans="1:8" ht="16.5" customHeight="1" x14ac:dyDescent="0.3">
      <c r="A157" s="3" t="s">
        <v>180</v>
      </c>
      <c r="B157" s="3" t="s">
        <v>326</v>
      </c>
      <c r="C157" s="3" t="s">
        <v>5</v>
      </c>
      <c r="D157" s="18">
        <v>36</v>
      </c>
      <c r="E157" s="18">
        <v>20</v>
      </c>
      <c r="F157" s="19">
        <v>4</v>
      </c>
      <c r="G157" s="19">
        <v>21</v>
      </c>
      <c r="H157" s="58">
        <f t="shared" si="2"/>
        <v>1680</v>
      </c>
    </row>
    <row r="158" spans="1:8" ht="16.5" customHeight="1" x14ac:dyDescent="0.3">
      <c r="A158" s="3" t="s">
        <v>180</v>
      </c>
      <c r="B158" s="3" t="s">
        <v>326</v>
      </c>
      <c r="C158" s="3" t="s">
        <v>5</v>
      </c>
      <c r="D158" s="18">
        <v>36</v>
      </c>
      <c r="E158" s="18">
        <v>16</v>
      </c>
      <c r="F158" s="19">
        <v>4</v>
      </c>
      <c r="G158" s="19">
        <v>15</v>
      </c>
      <c r="H158" s="58">
        <f t="shared" si="2"/>
        <v>960</v>
      </c>
    </row>
    <row r="159" spans="1:8" ht="16.5" customHeight="1" x14ac:dyDescent="0.3">
      <c r="A159" s="3" t="s">
        <v>180</v>
      </c>
      <c r="B159" s="3" t="s">
        <v>327</v>
      </c>
      <c r="C159" s="3" t="s">
        <v>5</v>
      </c>
      <c r="D159" s="18">
        <v>36</v>
      </c>
      <c r="E159" s="18">
        <v>36</v>
      </c>
      <c r="F159" s="19">
        <v>4</v>
      </c>
      <c r="G159" s="19">
        <v>35</v>
      </c>
      <c r="H159" s="58">
        <f t="shared" si="2"/>
        <v>5040</v>
      </c>
    </row>
    <row r="160" spans="1:8" ht="16.5" customHeight="1" x14ac:dyDescent="0.3">
      <c r="A160" s="3" t="s">
        <v>180</v>
      </c>
      <c r="B160" s="3" t="s">
        <v>328</v>
      </c>
      <c r="C160" s="3" t="s">
        <v>5</v>
      </c>
      <c r="D160" s="18">
        <v>36</v>
      </c>
      <c r="E160" s="18">
        <v>20</v>
      </c>
      <c r="F160" s="19">
        <v>6</v>
      </c>
      <c r="G160" s="19">
        <v>11</v>
      </c>
      <c r="H160" s="58">
        <f t="shared" si="2"/>
        <v>1320</v>
      </c>
    </row>
    <row r="161" spans="1:8" ht="16.5" customHeight="1" x14ac:dyDescent="0.3">
      <c r="A161" s="3" t="s">
        <v>180</v>
      </c>
      <c r="B161" s="3" t="s">
        <v>328</v>
      </c>
      <c r="C161" s="3" t="s">
        <v>5</v>
      </c>
      <c r="D161" s="18">
        <v>36</v>
      </c>
      <c r="E161" s="18">
        <v>16</v>
      </c>
      <c r="F161" s="19">
        <v>6</v>
      </c>
      <c r="G161" s="19">
        <v>10</v>
      </c>
      <c r="H161" s="58">
        <f t="shared" si="2"/>
        <v>960</v>
      </c>
    </row>
    <row r="162" spans="1:8" ht="16.5" customHeight="1" x14ac:dyDescent="0.3">
      <c r="A162" s="3" t="s">
        <v>180</v>
      </c>
      <c r="B162" s="3" t="s">
        <v>294</v>
      </c>
      <c r="C162" s="3" t="s">
        <v>5</v>
      </c>
      <c r="D162" s="18">
        <v>36</v>
      </c>
      <c r="E162" s="18">
        <v>36</v>
      </c>
      <c r="F162" s="19">
        <v>6</v>
      </c>
      <c r="G162" s="19">
        <v>24</v>
      </c>
      <c r="H162" s="58">
        <f t="shared" si="2"/>
        <v>5184</v>
      </c>
    </row>
    <row r="163" spans="1:8" ht="16.5" customHeight="1" x14ac:dyDescent="0.3">
      <c r="A163" s="3" t="s">
        <v>180</v>
      </c>
      <c r="B163" s="3" t="s">
        <v>329</v>
      </c>
      <c r="C163" s="3" t="s">
        <v>5</v>
      </c>
      <c r="D163" s="18">
        <v>36</v>
      </c>
      <c r="E163" s="18">
        <v>20</v>
      </c>
      <c r="F163" s="19">
        <v>6</v>
      </c>
      <c r="G163" s="19">
        <v>16</v>
      </c>
      <c r="H163" s="58">
        <f t="shared" si="2"/>
        <v>1920</v>
      </c>
    </row>
    <row r="164" spans="1:8" ht="16.5" customHeight="1" x14ac:dyDescent="0.3">
      <c r="A164" s="3" t="s">
        <v>180</v>
      </c>
      <c r="B164" s="3" t="s">
        <v>329</v>
      </c>
      <c r="C164" s="3" t="s">
        <v>5</v>
      </c>
      <c r="D164" s="18">
        <v>36</v>
      </c>
      <c r="E164" s="18">
        <v>16</v>
      </c>
      <c r="F164" s="19">
        <v>6</v>
      </c>
      <c r="G164" s="19">
        <v>15</v>
      </c>
      <c r="H164" s="58">
        <f t="shared" si="2"/>
        <v>1440</v>
      </c>
    </row>
    <row r="165" spans="1:8" ht="16.5" customHeight="1" x14ac:dyDescent="0.3">
      <c r="A165" s="3" t="s">
        <v>180</v>
      </c>
      <c r="B165" s="3" t="s">
        <v>206</v>
      </c>
      <c r="C165" s="3" t="s">
        <v>5</v>
      </c>
      <c r="D165" s="18">
        <v>36</v>
      </c>
      <c r="E165" s="18">
        <v>20</v>
      </c>
      <c r="F165" s="19">
        <v>6</v>
      </c>
      <c r="G165" s="19">
        <v>22</v>
      </c>
      <c r="H165" s="58">
        <f t="shared" si="2"/>
        <v>2640</v>
      </c>
    </row>
    <row r="166" spans="1:8" ht="16.5" customHeight="1" x14ac:dyDescent="0.3">
      <c r="A166" s="3" t="s">
        <v>180</v>
      </c>
      <c r="B166" s="3" t="s">
        <v>206</v>
      </c>
      <c r="C166" s="3" t="s">
        <v>5</v>
      </c>
      <c r="D166" s="18">
        <v>36</v>
      </c>
      <c r="E166" s="18">
        <v>16</v>
      </c>
      <c r="F166" s="19">
        <v>6</v>
      </c>
      <c r="G166" s="19">
        <v>15</v>
      </c>
      <c r="H166" s="58">
        <f t="shared" si="2"/>
        <v>1440</v>
      </c>
    </row>
    <row r="167" spans="1:8" ht="16.5" customHeight="1" x14ac:dyDescent="0.3">
      <c r="A167" s="3" t="s">
        <v>180</v>
      </c>
      <c r="B167" s="3" t="s">
        <v>330</v>
      </c>
      <c r="C167" s="3" t="s">
        <v>5</v>
      </c>
      <c r="D167" s="18">
        <v>36</v>
      </c>
      <c r="E167" s="18">
        <v>36</v>
      </c>
      <c r="F167" s="19">
        <v>3</v>
      </c>
      <c r="G167" s="19">
        <v>6</v>
      </c>
      <c r="H167" s="58">
        <f t="shared" si="2"/>
        <v>648</v>
      </c>
    </row>
    <row r="168" spans="1:8" ht="16.5" customHeight="1" x14ac:dyDescent="0.3">
      <c r="A168" s="3" t="s">
        <v>180</v>
      </c>
      <c r="B168" s="3" t="s">
        <v>331</v>
      </c>
      <c r="C168" s="3" t="s">
        <v>43</v>
      </c>
      <c r="D168" s="18">
        <v>36</v>
      </c>
      <c r="E168" s="18">
        <v>20</v>
      </c>
      <c r="F168" s="19">
        <v>4</v>
      </c>
      <c r="G168" s="19">
        <v>38</v>
      </c>
      <c r="H168" s="58">
        <f t="shared" si="2"/>
        <v>3040</v>
      </c>
    </row>
    <row r="169" spans="1:8" ht="16.5" customHeight="1" x14ac:dyDescent="0.3">
      <c r="A169" s="3" t="s">
        <v>180</v>
      </c>
      <c r="B169" s="3" t="s">
        <v>331</v>
      </c>
      <c r="C169" s="3" t="s">
        <v>43</v>
      </c>
      <c r="D169" s="18">
        <v>36</v>
      </c>
      <c r="E169" s="18">
        <v>16</v>
      </c>
      <c r="F169" s="19">
        <v>4</v>
      </c>
      <c r="G169" s="19">
        <v>35</v>
      </c>
      <c r="H169" s="58">
        <f t="shared" si="2"/>
        <v>2240</v>
      </c>
    </row>
    <row r="170" spans="1:8" ht="16.5" customHeight="1" x14ac:dyDescent="0.3">
      <c r="A170" s="3" t="s">
        <v>180</v>
      </c>
      <c r="B170" s="3" t="s">
        <v>332</v>
      </c>
      <c r="C170" s="3" t="s">
        <v>43</v>
      </c>
      <c r="D170" s="18">
        <v>36</v>
      </c>
      <c r="E170" s="18">
        <v>20</v>
      </c>
      <c r="F170" s="19">
        <v>2</v>
      </c>
      <c r="G170" s="19">
        <v>38</v>
      </c>
      <c r="H170" s="58">
        <f t="shared" si="2"/>
        <v>1520</v>
      </c>
    </row>
    <row r="171" spans="1:8" ht="16.5" customHeight="1" x14ac:dyDescent="0.3">
      <c r="A171" s="3" t="s">
        <v>180</v>
      </c>
      <c r="B171" s="3" t="s">
        <v>332</v>
      </c>
      <c r="C171" s="3" t="s">
        <v>43</v>
      </c>
      <c r="D171" s="18">
        <v>36</v>
      </c>
      <c r="E171" s="18">
        <v>16</v>
      </c>
      <c r="F171" s="19">
        <v>2</v>
      </c>
      <c r="G171" s="19">
        <v>35</v>
      </c>
      <c r="H171" s="58">
        <f t="shared" si="2"/>
        <v>1120</v>
      </c>
    </row>
    <row r="172" spans="1:8" ht="16.5" customHeight="1" x14ac:dyDescent="0.3">
      <c r="A172" s="3" t="s">
        <v>180</v>
      </c>
      <c r="B172" s="3" t="s">
        <v>333</v>
      </c>
      <c r="C172" s="3" t="s">
        <v>43</v>
      </c>
      <c r="D172" s="18">
        <v>36</v>
      </c>
      <c r="E172" s="18">
        <v>20</v>
      </c>
      <c r="F172" s="19">
        <v>6</v>
      </c>
      <c r="G172" s="19">
        <v>15</v>
      </c>
      <c r="H172" s="58">
        <f t="shared" si="2"/>
        <v>1800</v>
      </c>
    </row>
    <row r="173" spans="1:8" ht="16.5" customHeight="1" x14ac:dyDescent="0.3">
      <c r="A173" s="3" t="s">
        <v>180</v>
      </c>
      <c r="B173" s="3" t="s">
        <v>333</v>
      </c>
      <c r="C173" s="3" t="s">
        <v>43</v>
      </c>
      <c r="D173" s="18">
        <v>36</v>
      </c>
      <c r="E173" s="18">
        <v>16</v>
      </c>
      <c r="F173" s="19">
        <v>6</v>
      </c>
      <c r="G173" s="19">
        <v>15</v>
      </c>
      <c r="H173" s="58">
        <f t="shared" si="2"/>
        <v>1440</v>
      </c>
    </row>
    <row r="174" spans="1:8" ht="16.5" customHeight="1" x14ac:dyDescent="0.3">
      <c r="A174" s="3" t="s">
        <v>180</v>
      </c>
      <c r="B174" s="3" t="s">
        <v>334</v>
      </c>
      <c r="C174" s="3" t="s">
        <v>4</v>
      </c>
      <c r="D174" s="18">
        <v>36</v>
      </c>
      <c r="E174" s="18">
        <v>20</v>
      </c>
      <c r="F174" s="19">
        <v>4</v>
      </c>
      <c r="G174" s="19">
        <v>11</v>
      </c>
      <c r="H174" s="58">
        <f t="shared" si="2"/>
        <v>880</v>
      </c>
    </row>
    <row r="175" spans="1:8" ht="16.5" customHeight="1" x14ac:dyDescent="0.3">
      <c r="A175" s="3" t="s">
        <v>180</v>
      </c>
      <c r="B175" s="3" t="s">
        <v>334</v>
      </c>
      <c r="C175" s="3" t="s">
        <v>4</v>
      </c>
      <c r="D175" s="18">
        <v>36</v>
      </c>
      <c r="E175" s="18">
        <v>16</v>
      </c>
      <c r="F175" s="19">
        <v>4</v>
      </c>
      <c r="G175" s="19">
        <v>10</v>
      </c>
      <c r="H175" s="58">
        <f t="shared" si="2"/>
        <v>640</v>
      </c>
    </row>
    <row r="176" spans="1:8" ht="16.5" customHeight="1" x14ac:dyDescent="0.3">
      <c r="A176" s="3" t="s">
        <v>180</v>
      </c>
      <c r="B176" s="3" t="s">
        <v>335</v>
      </c>
      <c r="C176" s="3" t="s">
        <v>4</v>
      </c>
      <c r="D176" s="18">
        <v>36</v>
      </c>
      <c r="E176" s="18">
        <v>20</v>
      </c>
      <c r="F176" s="19">
        <v>6</v>
      </c>
      <c r="G176" s="19">
        <v>13</v>
      </c>
      <c r="H176" s="58">
        <f t="shared" si="2"/>
        <v>1560</v>
      </c>
    </row>
    <row r="177" spans="1:8" ht="16.5" customHeight="1" x14ac:dyDescent="0.3">
      <c r="A177" s="3" t="s">
        <v>180</v>
      </c>
      <c r="B177" s="3" t="s">
        <v>335</v>
      </c>
      <c r="C177" s="3" t="s">
        <v>4</v>
      </c>
      <c r="D177" s="18">
        <v>36</v>
      </c>
      <c r="E177" s="18">
        <v>16</v>
      </c>
      <c r="F177" s="19">
        <v>6</v>
      </c>
      <c r="G177" s="19">
        <v>15</v>
      </c>
      <c r="H177" s="58">
        <f t="shared" si="2"/>
        <v>1440</v>
      </c>
    </row>
    <row r="178" spans="1:8" ht="16.5" customHeight="1" x14ac:dyDescent="0.3">
      <c r="A178" s="3" t="s">
        <v>180</v>
      </c>
      <c r="B178" s="3" t="s">
        <v>336</v>
      </c>
      <c r="C178" s="3" t="s">
        <v>4</v>
      </c>
      <c r="D178" s="18">
        <v>36</v>
      </c>
      <c r="E178" s="18">
        <v>36</v>
      </c>
      <c r="F178" s="19">
        <v>6</v>
      </c>
      <c r="G178" s="19">
        <v>31</v>
      </c>
      <c r="H178" s="58">
        <f t="shared" si="2"/>
        <v>6696</v>
      </c>
    </row>
    <row r="179" spans="1:8" ht="16.5" customHeight="1" x14ac:dyDescent="0.3">
      <c r="A179" s="3" t="s">
        <v>180</v>
      </c>
      <c r="B179" s="3" t="s">
        <v>337</v>
      </c>
      <c r="C179" s="3" t="s">
        <v>7</v>
      </c>
      <c r="D179" s="18">
        <v>36</v>
      </c>
      <c r="E179" s="18">
        <v>20</v>
      </c>
      <c r="F179" s="19">
        <v>2</v>
      </c>
      <c r="G179" s="19">
        <v>20</v>
      </c>
      <c r="H179" s="58">
        <f t="shared" si="2"/>
        <v>800</v>
      </c>
    </row>
    <row r="180" spans="1:8" ht="16.5" customHeight="1" x14ac:dyDescent="0.3">
      <c r="A180" s="3" t="s">
        <v>180</v>
      </c>
      <c r="B180" s="3" t="s">
        <v>337</v>
      </c>
      <c r="C180" s="3" t="s">
        <v>7</v>
      </c>
      <c r="D180" s="18">
        <v>36</v>
      </c>
      <c r="E180" s="18">
        <v>16</v>
      </c>
      <c r="F180" s="19">
        <v>2</v>
      </c>
      <c r="G180" s="19">
        <v>15</v>
      </c>
      <c r="H180" s="58">
        <f t="shared" si="2"/>
        <v>480</v>
      </c>
    </row>
    <row r="181" spans="1:8" ht="16.5" customHeight="1" x14ac:dyDescent="0.3">
      <c r="A181" s="3" t="s">
        <v>180</v>
      </c>
      <c r="B181" s="3" t="s">
        <v>208</v>
      </c>
      <c r="C181" s="3" t="s">
        <v>7</v>
      </c>
      <c r="D181" s="18">
        <v>36</v>
      </c>
      <c r="E181" s="18">
        <v>20</v>
      </c>
      <c r="F181" s="19">
        <v>2</v>
      </c>
      <c r="G181" s="19">
        <v>19</v>
      </c>
      <c r="H181" s="58">
        <f t="shared" si="2"/>
        <v>760</v>
      </c>
    </row>
    <row r="182" spans="1:8" ht="16.5" customHeight="1" x14ac:dyDescent="0.3">
      <c r="A182" s="3" t="s">
        <v>180</v>
      </c>
      <c r="B182" s="3" t="s">
        <v>208</v>
      </c>
      <c r="C182" s="3" t="s">
        <v>7</v>
      </c>
      <c r="D182" s="18">
        <v>36</v>
      </c>
      <c r="E182" s="18">
        <v>16</v>
      </c>
      <c r="F182" s="19">
        <v>2</v>
      </c>
      <c r="G182" s="19">
        <v>15</v>
      </c>
      <c r="H182" s="58">
        <f t="shared" si="2"/>
        <v>480</v>
      </c>
    </row>
    <row r="183" spans="1:8" ht="16.5" customHeight="1" x14ac:dyDescent="0.3">
      <c r="A183" s="3" t="s">
        <v>180</v>
      </c>
      <c r="B183" s="3" t="s">
        <v>338</v>
      </c>
      <c r="C183" s="3" t="s">
        <v>6</v>
      </c>
      <c r="D183" s="18">
        <v>36</v>
      </c>
      <c r="E183" s="18">
        <v>20</v>
      </c>
      <c r="F183" s="19">
        <v>6</v>
      </c>
      <c r="G183" s="19">
        <v>31</v>
      </c>
      <c r="H183" s="58">
        <f t="shared" si="2"/>
        <v>3720</v>
      </c>
    </row>
    <row r="184" spans="1:8" ht="16.5" customHeight="1" x14ac:dyDescent="0.3">
      <c r="A184" s="3" t="s">
        <v>180</v>
      </c>
      <c r="B184" s="3" t="s">
        <v>338</v>
      </c>
      <c r="C184" s="3" t="s">
        <v>6</v>
      </c>
      <c r="D184" s="18">
        <v>36</v>
      </c>
      <c r="E184" s="18">
        <v>16</v>
      </c>
      <c r="F184" s="19">
        <v>6</v>
      </c>
      <c r="G184" s="19">
        <v>30</v>
      </c>
      <c r="H184" s="58">
        <f t="shared" si="2"/>
        <v>2880</v>
      </c>
    </row>
    <row r="185" spans="1:8" ht="16.5" customHeight="1" x14ac:dyDescent="0.3">
      <c r="A185" s="3" t="s">
        <v>180</v>
      </c>
      <c r="B185" s="3" t="s">
        <v>339</v>
      </c>
      <c r="C185" s="3" t="s">
        <v>3</v>
      </c>
      <c r="D185" s="18">
        <v>36</v>
      </c>
      <c r="E185" s="18">
        <v>20</v>
      </c>
      <c r="F185" s="19">
        <v>2</v>
      </c>
      <c r="G185" s="19">
        <v>6</v>
      </c>
      <c r="H185" s="58">
        <f t="shared" si="2"/>
        <v>240</v>
      </c>
    </row>
    <row r="186" spans="1:8" ht="16.5" customHeight="1" x14ac:dyDescent="0.3">
      <c r="A186" s="3" t="s">
        <v>180</v>
      </c>
      <c r="B186" s="3" t="s">
        <v>339</v>
      </c>
      <c r="C186" s="3" t="s">
        <v>3</v>
      </c>
      <c r="D186" s="18">
        <v>36</v>
      </c>
      <c r="E186" s="18">
        <v>16</v>
      </c>
      <c r="F186" s="19">
        <v>2</v>
      </c>
      <c r="G186" s="19">
        <v>10</v>
      </c>
      <c r="H186" s="58">
        <f t="shared" si="2"/>
        <v>320</v>
      </c>
    </row>
    <row r="187" spans="1:8" ht="16.5" customHeight="1" x14ac:dyDescent="0.3">
      <c r="A187" s="3" t="s">
        <v>180</v>
      </c>
      <c r="B187" s="3" t="s">
        <v>240</v>
      </c>
      <c r="C187" s="3" t="s">
        <v>5</v>
      </c>
      <c r="D187" s="18">
        <v>7</v>
      </c>
      <c r="E187" s="18">
        <v>7</v>
      </c>
      <c r="F187" s="19">
        <v>4</v>
      </c>
      <c r="G187" s="19">
        <v>40</v>
      </c>
      <c r="H187" s="58">
        <f t="shared" si="2"/>
        <v>1120</v>
      </c>
    </row>
    <row r="188" spans="1:8" ht="16.5" customHeight="1" x14ac:dyDescent="0.3">
      <c r="A188" s="3" t="s">
        <v>180</v>
      </c>
      <c r="B188" s="3" t="s">
        <v>340</v>
      </c>
      <c r="C188" s="3" t="s">
        <v>5</v>
      </c>
      <c r="D188" s="18">
        <v>7</v>
      </c>
      <c r="E188" s="18">
        <v>7</v>
      </c>
      <c r="F188" s="19">
        <v>6</v>
      </c>
      <c r="G188" s="19">
        <v>20</v>
      </c>
      <c r="H188" s="58">
        <f t="shared" si="2"/>
        <v>840</v>
      </c>
    </row>
    <row r="189" spans="1:8" ht="16.5" customHeight="1" x14ac:dyDescent="0.3">
      <c r="A189" s="3" t="s">
        <v>180</v>
      </c>
      <c r="B189" s="3" t="s">
        <v>341</v>
      </c>
      <c r="C189" s="3" t="s">
        <v>5</v>
      </c>
      <c r="D189" s="18">
        <v>7</v>
      </c>
      <c r="E189" s="18">
        <v>7</v>
      </c>
      <c r="F189" s="19">
        <v>8</v>
      </c>
      <c r="G189" s="19">
        <v>17</v>
      </c>
      <c r="H189" s="58">
        <f t="shared" si="2"/>
        <v>952</v>
      </c>
    </row>
    <row r="190" spans="1:8" ht="16.5" customHeight="1" x14ac:dyDescent="0.3">
      <c r="A190" s="3" t="s">
        <v>180</v>
      </c>
      <c r="B190" s="3" t="s">
        <v>342</v>
      </c>
      <c r="C190" s="3" t="s">
        <v>5</v>
      </c>
      <c r="D190" s="18">
        <v>7</v>
      </c>
      <c r="E190" s="18">
        <v>7</v>
      </c>
      <c r="F190" s="19">
        <v>6</v>
      </c>
      <c r="G190" s="19">
        <v>20</v>
      </c>
      <c r="H190" s="58">
        <f t="shared" si="2"/>
        <v>840</v>
      </c>
    </row>
    <row r="191" spans="1:8" ht="16.5" customHeight="1" x14ac:dyDescent="0.3">
      <c r="A191" s="3" t="s">
        <v>180</v>
      </c>
      <c r="B191" s="3" t="s">
        <v>343</v>
      </c>
      <c r="C191" s="3" t="s">
        <v>5</v>
      </c>
      <c r="D191" s="18">
        <v>7</v>
      </c>
      <c r="E191" s="18">
        <v>7</v>
      </c>
      <c r="F191" s="19">
        <v>4</v>
      </c>
      <c r="G191" s="19">
        <v>12</v>
      </c>
      <c r="H191" s="58">
        <f t="shared" si="2"/>
        <v>336</v>
      </c>
    </row>
    <row r="192" spans="1:8" ht="16.5" customHeight="1" x14ac:dyDescent="0.3">
      <c r="A192" s="3" t="s">
        <v>180</v>
      </c>
      <c r="B192" s="3" t="s">
        <v>344</v>
      </c>
      <c r="C192" s="3" t="s">
        <v>5</v>
      </c>
      <c r="D192" s="18">
        <v>7</v>
      </c>
      <c r="E192" s="18">
        <v>7</v>
      </c>
      <c r="F192" s="19">
        <v>4</v>
      </c>
      <c r="G192" s="19">
        <v>20</v>
      </c>
      <c r="H192" s="58">
        <f t="shared" si="2"/>
        <v>560</v>
      </c>
    </row>
    <row r="193" spans="1:8" ht="16.5" customHeight="1" x14ac:dyDescent="0.3">
      <c r="A193" s="3" t="s">
        <v>180</v>
      </c>
      <c r="B193" s="3" t="s">
        <v>225</v>
      </c>
      <c r="C193" s="3" t="s">
        <v>5</v>
      </c>
      <c r="D193" s="18">
        <v>7</v>
      </c>
      <c r="E193" s="18">
        <v>7</v>
      </c>
      <c r="F193" s="19">
        <v>6</v>
      </c>
      <c r="G193" s="19">
        <v>35</v>
      </c>
      <c r="H193" s="58">
        <f t="shared" si="2"/>
        <v>1470</v>
      </c>
    </row>
    <row r="194" spans="1:8" ht="16.5" customHeight="1" x14ac:dyDescent="0.3">
      <c r="A194" s="3" t="s">
        <v>180</v>
      </c>
      <c r="B194" s="3" t="s">
        <v>203</v>
      </c>
      <c r="C194" s="3" t="s">
        <v>5</v>
      </c>
      <c r="D194" s="18">
        <v>7</v>
      </c>
      <c r="E194" s="18">
        <v>7</v>
      </c>
      <c r="F194" s="19">
        <v>6</v>
      </c>
      <c r="G194" s="19">
        <v>25</v>
      </c>
      <c r="H194" s="58">
        <f t="shared" si="2"/>
        <v>1050</v>
      </c>
    </row>
    <row r="195" spans="1:8" ht="16.5" customHeight="1" x14ac:dyDescent="0.3">
      <c r="A195" s="3" t="s">
        <v>180</v>
      </c>
      <c r="B195" s="3" t="s">
        <v>345</v>
      </c>
      <c r="C195" s="3" t="s">
        <v>5</v>
      </c>
      <c r="D195" s="18">
        <v>7</v>
      </c>
      <c r="E195" s="18">
        <v>7</v>
      </c>
      <c r="F195" s="19">
        <v>6</v>
      </c>
      <c r="G195" s="19">
        <v>12</v>
      </c>
      <c r="H195" s="58">
        <f t="shared" si="2"/>
        <v>504</v>
      </c>
    </row>
    <row r="196" spans="1:8" ht="16.5" customHeight="1" x14ac:dyDescent="0.3">
      <c r="A196" s="3" t="s">
        <v>180</v>
      </c>
      <c r="B196" s="3" t="s">
        <v>346</v>
      </c>
      <c r="C196" s="3" t="s">
        <v>5</v>
      </c>
      <c r="D196" s="18">
        <v>7</v>
      </c>
      <c r="E196" s="18">
        <v>7</v>
      </c>
      <c r="F196" s="19">
        <v>6</v>
      </c>
      <c r="G196" s="19">
        <v>24</v>
      </c>
      <c r="H196" s="58">
        <f t="shared" si="2"/>
        <v>1008</v>
      </c>
    </row>
    <row r="197" spans="1:8" ht="16.5" customHeight="1" x14ac:dyDescent="0.3">
      <c r="A197" s="3" t="s">
        <v>180</v>
      </c>
      <c r="B197" s="3" t="s">
        <v>347</v>
      </c>
      <c r="C197" s="3" t="s">
        <v>4</v>
      </c>
      <c r="D197" s="18">
        <v>7</v>
      </c>
      <c r="E197" s="18">
        <v>7</v>
      </c>
      <c r="F197" s="19">
        <v>6</v>
      </c>
      <c r="G197" s="19">
        <v>12</v>
      </c>
      <c r="H197" s="58">
        <f t="shared" si="2"/>
        <v>504</v>
      </c>
    </row>
    <row r="198" spans="1:8" ht="16.5" customHeight="1" x14ac:dyDescent="0.3">
      <c r="A198" s="3" t="s">
        <v>180</v>
      </c>
      <c r="B198" s="3" t="s">
        <v>348</v>
      </c>
      <c r="C198" s="3" t="s">
        <v>4</v>
      </c>
      <c r="D198" s="18">
        <v>7</v>
      </c>
      <c r="E198" s="18">
        <v>7</v>
      </c>
      <c r="F198" s="19">
        <v>4</v>
      </c>
      <c r="G198" s="19">
        <v>10</v>
      </c>
      <c r="H198" s="58">
        <f t="shared" si="2"/>
        <v>280</v>
      </c>
    </row>
    <row r="199" spans="1:8" ht="28.5" customHeight="1" x14ac:dyDescent="0.3">
      <c r="A199" s="3" t="s">
        <v>180</v>
      </c>
      <c r="B199" s="71" t="s">
        <v>349</v>
      </c>
      <c r="C199" s="3" t="s">
        <v>4</v>
      </c>
      <c r="D199" s="18">
        <v>7</v>
      </c>
      <c r="E199" s="18">
        <v>7</v>
      </c>
      <c r="F199" s="19">
        <v>4</v>
      </c>
      <c r="G199" s="19">
        <v>10</v>
      </c>
      <c r="H199" s="58">
        <f t="shared" si="2"/>
        <v>280</v>
      </c>
    </row>
    <row r="200" spans="1:8" ht="16.5" customHeight="1" x14ac:dyDescent="0.3">
      <c r="A200" s="3" t="s">
        <v>180</v>
      </c>
      <c r="B200" s="3" t="s">
        <v>350</v>
      </c>
      <c r="C200" s="3" t="s">
        <v>4</v>
      </c>
      <c r="D200" s="18">
        <v>7</v>
      </c>
      <c r="E200" s="18">
        <v>7</v>
      </c>
      <c r="F200" s="19">
        <v>5</v>
      </c>
      <c r="G200" s="19">
        <v>20</v>
      </c>
      <c r="H200" s="58">
        <f t="shared" si="2"/>
        <v>700</v>
      </c>
    </row>
    <row r="201" spans="1:8" ht="16.5" customHeight="1" x14ac:dyDescent="0.3">
      <c r="A201" s="3" t="s">
        <v>180</v>
      </c>
      <c r="B201" s="3" t="s">
        <v>351</v>
      </c>
      <c r="C201" s="3" t="s">
        <v>4</v>
      </c>
      <c r="D201" s="18">
        <v>7</v>
      </c>
      <c r="E201" s="18">
        <v>7</v>
      </c>
      <c r="F201" s="19">
        <v>6</v>
      </c>
      <c r="G201" s="19">
        <v>12</v>
      </c>
      <c r="H201" s="58">
        <f t="shared" si="2"/>
        <v>504</v>
      </c>
    </row>
    <row r="202" spans="1:8" ht="16.5" customHeight="1" x14ac:dyDescent="0.3">
      <c r="A202" s="3" t="s">
        <v>180</v>
      </c>
      <c r="B202" s="3" t="s">
        <v>352</v>
      </c>
      <c r="C202" s="3" t="s">
        <v>43</v>
      </c>
      <c r="D202" s="18">
        <v>7</v>
      </c>
      <c r="E202" s="18">
        <v>7</v>
      </c>
      <c r="F202" s="19">
        <v>6</v>
      </c>
      <c r="G202" s="19">
        <v>30</v>
      </c>
      <c r="H202" s="58">
        <f t="shared" si="2"/>
        <v>1260</v>
      </c>
    </row>
    <row r="203" spans="1:8" ht="16.5" customHeight="1" x14ac:dyDescent="0.3">
      <c r="A203" s="3" t="s">
        <v>180</v>
      </c>
      <c r="B203" s="3" t="s">
        <v>333</v>
      </c>
      <c r="C203" s="3" t="s">
        <v>43</v>
      </c>
      <c r="D203" s="18">
        <v>7</v>
      </c>
      <c r="E203" s="18">
        <v>7</v>
      </c>
      <c r="F203" s="19">
        <v>5</v>
      </c>
      <c r="G203" s="19">
        <v>20</v>
      </c>
      <c r="H203" s="58">
        <f t="shared" si="2"/>
        <v>700</v>
      </c>
    </row>
    <row r="204" spans="1:8" ht="16.5" customHeight="1" x14ac:dyDescent="0.3">
      <c r="A204" s="3" t="s">
        <v>180</v>
      </c>
      <c r="B204" s="3" t="s">
        <v>353</v>
      </c>
      <c r="C204" s="3" t="s">
        <v>43</v>
      </c>
      <c r="D204" s="18">
        <v>7</v>
      </c>
      <c r="E204" s="18">
        <v>7</v>
      </c>
      <c r="F204" s="19">
        <v>6</v>
      </c>
      <c r="G204" s="19">
        <v>12</v>
      </c>
      <c r="H204" s="58">
        <f t="shared" si="2"/>
        <v>504</v>
      </c>
    </row>
    <row r="205" spans="1:8" ht="16.5" customHeight="1" x14ac:dyDescent="0.3">
      <c r="A205" s="3" t="s">
        <v>180</v>
      </c>
      <c r="B205" s="3" t="s">
        <v>188</v>
      </c>
      <c r="C205" s="3" t="s">
        <v>7</v>
      </c>
      <c r="D205" s="18">
        <v>7</v>
      </c>
      <c r="E205" s="18">
        <v>7</v>
      </c>
      <c r="F205" s="19">
        <v>2</v>
      </c>
      <c r="G205" s="19">
        <v>15</v>
      </c>
      <c r="H205" s="58">
        <f t="shared" si="2"/>
        <v>210</v>
      </c>
    </row>
    <row r="206" spans="1:8" ht="16.5" customHeight="1" x14ac:dyDescent="0.3">
      <c r="A206" s="3" t="s">
        <v>354</v>
      </c>
      <c r="B206" s="3" t="s">
        <v>187</v>
      </c>
      <c r="C206" s="3" t="s">
        <v>7</v>
      </c>
      <c r="D206" s="18">
        <v>7</v>
      </c>
      <c r="E206" s="18">
        <v>7</v>
      </c>
      <c r="F206" s="19">
        <v>2</v>
      </c>
      <c r="G206" s="19">
        <v>15</v>
      </c>
      <c r="H206" s="58">
        <f t="shared" si="2"/>
        <v>210</v>
      </c>
    </row>
    <row r="207" spans="1:8" ht="16.5" customHeight="1" x14ac:dyDescent="0.3">
      <c r="A207" s="3" t="s">
        <v>361</v>
      </c>
      <c r="B207" s="3" t="s">
        <v>355</v>
      </c>
      <c r="C207" s="3" t="s">
        <v>7</v>
      </c>
      <c r="D207" s="18">
        <v>20</v>
      </c>
      <c r="E207" s="18">
        <v>20</v>
      </c>
      <c r="F207" s="19">
        <v>4</v>
      </c>
      <c r="G207" s="19">
        <v>43</v>
      </c>
      <c r="H207" s="58">
        <f>E207*F207*G207</f>
        <v>3440</v>
      </c>
    </row>
    <row r="208" spans="1:8" ht="16.5" customHeight="1" x14ac:dyDescent="0.3">
      <c r="A208" s="3" t="s">
        <v>361</v>
      </c>
      <c r="B208" s="3" t="s">
        <v>254</v>
      </c>
      <c r="C208" s="3" t="s">
        <v>7</v>
      </c>
      <c r="D208" s="18">
        <v>20</v>
      </c>
      <c r="E208" s="18">
        <v>20</v>
      </c>
      <c r="F208" s="19">
        <v>4</v>
      </c>
      <c r="G208" s="19">
        <v>20</v>
      </c>
      <c r="H208" s="58">
        <f t="shared" ref="H208:H213" si="3">E208*F208*G208</f>
        <v>1600</v>
      </c>
    </row>
    <row r="209" spans="1:8" ht="16.5" customHeight="1" x14ac:dyDescent="0.3">
      <c r="A209" s="3" t="s">
        <v>361</v>
      </c>
      <c r="B209" s="3" t="s">
        <v>356</v>
      </c>
      <c r="C209" s="3" t="s">
        <v>7</v>
      </c>
      <c r="D209" s="18">
        <v>20</v>
      </c>
      <c r="E209" s="18">
        <v>20</v>
      </c>
      <c r="F209" s="19">
        <v>4</v>
      </c>
      <c r="G209" s="19">
        <v>50</v>
      </c>
      <c r="H209" s="58">
        <f>E209*F209*G209</f>
        <v>4000</v>
      </c>
    </row>
    <row r="210" spans="1:8" ht="16.5" customHeight="1" x14ac:dyDescent="0.3">
      <c r="A210" s="3" t="s">
        <v>361</v>
      </c>
      <c r="B210" s="3" t="s">
        <v>357</v>
      </c>
      <c r="C210" s="3" t="s">
        <v>7</v>
      </c>
      <c r="D210" s="18">
        <v>20</v>
      </c>
      <c r="E210" s="18">
        <v>20</v>
      </c>
      <c r="F210" s="19">
        <v>4</v>
      </c>
      <c r="G210" s="19">
        <v>25</v>
      </c>
      <c r="H210" s="58">
        <f t="shared" si="3"/>
        <v>2000</v>
      </c>
    </row>
    <row r="211" spans="1:8" ht="16.5" customHeight="1" x14ac:dyDescent="0.3">
      <c r="A211" s="3" t="s">
        <v>361</v>
      </c>
      <c r="B211" s="3" t="s">
        <v>358</v>
      </c>
      <c r="C211" s="3" t="s">
        <v>7</v>
      </c>
      <c r="D211" s="18">
        <v>20</v>
      </c>
      <c r="E211" s="18">
        <v>20</v>
      </c>
      <c r="F211" s="19">
        <v>4</v>
      </c>
      <c r="G211" s="19">
        <v>56</v>
      </c>
      <c r="H211" s="58">
        <f t="shared" si="3"/>
        <v>4480</v>
      </c>
    </row>
    <row r="212" spans="1:8" ht="16.5" customHeight="1" x14ac:dyDescent="0.3">
      <c r="A212" s="3" t="s">
        <v>361</v>
      </c>
      <c r="B212" s="3" t="s">
        <v>359</v>
      </c>
      <c r="C212" s="3" t="s">
        <v>7</v>
      </c>
      <c r="D212" s="18">
        <v>20</v>
      </c>
      <c r="E212" s="18">
        <v>20</v>
      </c>
      <c r="F212" s="19">
        <v>4</v>
      </c>
      <c r="G212" s="19">
        <v>20</v>
      </c>
      <c r="H212" s="58">
        <f t="shared" si="3"/>
        <v>1600</v>
      </c>
    </row>
    <row r="213" spans="1:8" ht="16.5" customHeight="1" x14ac:dyDescent="0.3">
      <c r="A213" s="3" t="s">
        <v>361</v>
      </c>
      <c r="B213" s="3" t="s">
        <v>360</v>
      </c>
      <c r="C213" s="3" t="s">
        <v>7</v>
      </c>
      <c r="D213" s="18">
        <v>20</v>
      </c>
      <c r="E213" s="18">
        <v>20</v>
      </c>
      <c r="F213" s="19">
        <v>4</v>
      </c>
      <c r="G213" s="19">
        <v>15</v>
      </c>
      <c r="H213" s="58">
        <f t="shared" si="3"/>
        <v>1200</v>
      </c>
    </row>
    <row r="214" spans="1:8" x14ac:dyDescent="0.3">
      <c r="A214" s="138"/>
      <c r="B214" s="138"/>
      <c r="C214" s="138"/>
      <c r="D214" s="138"/>
      <c r="E214" s="138"/>
      <c r="F214" s="139"/>
      <c r="G214" s="6">
        <f>SUM(G2:G213)</f>
        <v>4939</v>
      </c>
      <c r="H214" s="6">
        <f>SUM(H2:H213)</f>
        <v>270235</v>
      </c>
    </row>
  </sheetData>
  <autoFilter ref="A2:J214"/>
  <mergeCells count="1">
    <mergeCell ref="A214:F214"/>
  </mergeCells>
  <dataValidations count="2">
    <dataValidation type="list" allowBlank="1" showInputMessage="1" showErrorMessage="1" sqref="C139:C213">
      <formula1>$J$2:$J$7</formula1>
    </dataValidation>
    <dataValidation type="list" allowBlank="1" showInputMessage="1" showErrorMessage="1" sqref="C2:C138">
      <formula1>$J$2:$J$10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60" zoomScaleNormal="60" workbookViewId="0">
      <selection activeCell="B5" sqref="B5:D5"/>
    </sheetView>
  </sheetViews>
  <sheetFormatPr defaultColWidth="10.8984375" defaultRowHeight="15.6" x14ac:dyDescent="0.3"/>
  <cols>
    <col min="1" max="1" width="17.19921875" style="37" customWidth="1"/>
    <col min="2" max="2" width="8.5" style="37" customWidth="1"/>
    <col min="3" max="3" width="13.3984375" style="37" customWidth="1"/>
    <col min="4" max="4" width="3.5" style="37" customWidth="1"/>
    <col min="5" max="5" width="31.09765625" style="37" customWidth="1"/>
    <col min="6" max="6" width="12.3984375" style="37" bestFit="1" customWidth="1"/>
    <col min="7" max="7" width="13.09765625" style="37" customWidth="1"/>
    <col min="8" max="8" width="11.19921875" style="37" customWidth="1"/>
    <col min="9" max="9" width="14.8984375" style="37" customWidth="1"/>
    <col min="10" max="10" width="12.8984375" style="37" customWidth="1"/>
    <col min="11" max="11" width="14.69921875" style="37" customWidth="1"/>
    <col min="12" max="12" width="12.09765625" style="37" customWidth="1"/>
    <col min="13" max="13" width="14" style="37" customWidth="1"/>
    <col min="14" max="14" width="13" style="37" customWidth="1"/>
    <col min="15" max="15" width="16.5" style="37" customWidth="1"/>
    <col min="16" max="16" width="14.5" style="37" customWidth="1"/>
    <col min="17" max="17" width="11.8984375" style="37" customWidth="1"/>
    <col min="18" max="18" width="12.59765625" style="37" customWidth="1"/>
    <col min="19" max="19" width="11.8984375" style="37" customWidth="1"/>
    <col min="20" max="16384" width="10.8984375" style="37"/>
  </cols>
  <sheetData>
    <row r="1" spans="1:19" ht="16.2" customHeight="1" x14ac:dyDescent="0.3">
      <c r="I1" s="151"/>
      <c r="J1" s="151"/>
      <c r="K1" s="151"/>
      <c r="L1" s="151"/>
      <c r="M1" s="38"/>
      <c r="N1" s="38"/>
      <c r="O1" s="39"/>
      <c r="P1" s="39"/>
      <c r="Q1" s="39"/>
    </row>
    <row r="2" spans="1:19" ht="140.4" customHeight="1" x14ac:dyDescent="0.3">
      <c r="A2" s="146" t="s">
        <v>0</v>
      </c>
      <c r="B2" s="146"/>
      <c r="C2" s="154" t="s">
        <v>36</v>
      </c>
      <c r="D2" s="154"/>
      <c r="E2" s="59" t="s">
        <v>42</v>
      </c>
      <c r="F2" s="59" t="s">
        <v>40</v>
      </c>
      <c r="G2" s="59" t="s">
        <v>67</v>
      </c>
      <c r="H2" s="60" t="s">
        <v>45</v>
      </c>
      <c r="I2" s="60" t="s">
        <v>58</v>
      </c>
      <c r="J2" s="61" t="s">
        <v>68</v>
      </c>
      <c r="K2" s="60" t="s">
        <v>59</v>
      </c>
      <c r="L2" s="61" t="s">
        <v>69</v>
      </c>
      <c r="M2" s="62" t="s">
        <v>65</v>
      </c>
      <c r="N2" s="63" t="s">
        <v>70</v>
      </c>
      <c r="O2" s="64" t="s">
        <v>61</v>
      </c>
      <c r="P2" s="64" t="s">
        <v>60</v>
      </c>
      <c r="Q2" s="65" t="s">
        <v>66</v>
      </c>
      <c r="R2" s="66" t="s">
        <v>64</v>
      </c>
      <c r="S2" s="152" t="s">
        <v>57</v>
      </c>
    </row>
    <row r="3" spans="1:19" ht="35.1" customHeight="1" x14ac:dyDescent="0.3">
      <c r="A3" s="147" t="s">
        <v>81</v>
      </c>
      <c r="B3" s="147"/>
      <c r="C3" s="155">
        <v>46244980</v>
      </c>
      <c r="D3" s="155"/>
      <c r="E3" s="67">
        <v>10508</v>
      </c>
      <c r="F3" s="68">
        <v>0.75</v>
      </c>
      <c r="G3" s="67">
        <f>E3*F3</f>
        <v>7881</v>
      </c>
      <c r="H3" s="69">
        <v>0.18</v>
      </c>
      <c r="I3" s="130">
        <f>E3*H3</f>
        <v>1891</v>
      </c>
      <c r="J3" s="70">
        <f>ROUNDUP(MAX(F13:K13)*E4,-1)</f>
        <v>8290</v>
      </c>
      <c r="K3" s="71">
        <v>50</v>
      </c>
      <c r="L3" s="70">
        <f>ROUNDUP(MAX(F13:K13)*G22*E5,-1)</f>
        <v>8290</v>
      </c>
      <c r="M3" s="72">
        <v>0</v>
      </c>
      <c r="N3" s="70">
        <f>ROUNDUP(MAX(F13:K13)*G26*E6,-1)</f>
        <v>0</v>
      </c>
      <c r="O3" s="70">
        <f>J3*I3</f>
        <v>15676390</v>
      </c>
      <c r="P3" s="70">
        <f>K3*L3</f>
        <v>414500</v>
      </c>
      <c r="Q3" s="70">
        <f>M3*N3</f>
        <v>0</v>
      </c>
      <c r="R3" s="73">
        <f>(O3+P3+Q3)-('Стандартные программы'!M161+'Дистанционные программы'!L13+'Очно-заочные программы'!L22+'Адаптированные программы'!M25)</f>
        <v>333344.40000000002</v>
      </c>
      <c r="S3" s="152"/>
    </row>
    <row r="4" spans="1:19" ht="50.4" customHeight="1" x14ac:dyDescent="0.3">
      <c r="A4" s="29"/>
      <c r="B4" s="149" t="s">
        <v>55</v>
      </c>
      <c r="C4" s="149"/>
      <c r="D4" s="149"/>
      <c r="E4" s="74">
        <v>143</v>
      </c>
      <c r="F4" s="153" t="str">
        <f>IF(G3&lt;F3*E3,"Охват недостаточен"," ")</f>
        <v xml:space="preserve"> </v>
      </c>
      <c r="G4" s="153"/>
      <c r="H4" s="153" t="str">
        <f>IF((I3+K3+M3)&lt;H3*E3,"Охват недостаточен"," ")</f>
        <v xml:space="preserve"> </v>
      </c>
      <c r="I4" s="153"/>
      <c r="J4" s="141" t="s">
        <v>38</v>
      </c>
      <c r="K4" s="141"/>
      <c r="L4" s="141"/>
      <c r="M4" s="141"/>
      <c r="N4" s="141"/>
      <c r="O4" s="54" t="str">
        <f>IF(C3&lt;(O3+P3+Q3),(O3+P3+Q3)-C3,"не требуется")</f>
        <v>не требуется</v>
      </c>
      <c r="P4" s="41"/>
      <c r="Q4" s="41"/>
      <c r="R4" s="81">
        <f>R3/(O3+P3+Q3)</f>
        <v>0.02</v>
      </c>
      <c r="S4" s="42"/>
    </row>
    <row r="5" spans="1:19" ht="75.75" customHeight="1" x14ac:dyDescent="0.3">
      <c r="A5" s="29"/>
      <c r="B5" s="149" t="s">
        <v>56</v>
      </c>
      <c r="C5" s="149"/>
      <c r="D5" s="149"/>
      <c r="E5" s="74">
        <v>143</v>
      </c>
      <c r="F5" s="35"/>
      <c r="G5" s="35"/>
      <c r="H5" s="35"/>
      <c r="I5" s="35"/>
      <c r="J5" s="40"/>
      <c r="K5" s="40"/>
      <c r="L5" s="40"/>
      <c r="M5" s="40"/>
      <c r="N5" s="40"/>
      <c r="O5" s="41"/>
      <c r="P5" s="41"/>
      <c r="Q5" s="41"/>
      <c r="R5" s="43"/>
      <c r="S5" s="42"/>
    </row>
    <row r="6" spans="1:19" ht="76.5" customHeight="1" x14ac:dyDescent="0.3">
      <c r="A6" s="29"/>
      <c r="B6" s="150" t="s">
        <v>62</v>
      </c>
      <c r="C6" s="150"/>
      <c r="D6" s="150"/>
      <c r="E6" s="74">
        <v>0</v>
      </c>
      <c r="F6" s="35"/>
      <c r="G6" s="35"/>
      <c r="H6" s="35"/>
      <c r="I6" s="35"/>
      <c r="J6" s="40"/>
      <c r="K6" s="40"/>
      <c r="L6" s="40"/>
      <c r="M6" s="40"/>
      <c r="N6" s="40"/>
      <c r="O6" s="41"/>
      <c r="P6" s="41"/>
      <c r="Q6" s="41"/>
      <c r="R6" s="43"/>
      <c r="S6" s="42"/>
    </row>
    <row r="7" spans="1:19" ht="33.75" customHeight="1" x14ac:dyDescent="0.3">
      <c r="A7" s="145" t="s">
        <v>25</v>
      </c>
      <c r="B7" s="145"/>
      <c r="C7" s="55">
        <v>36272</v>
      </c>
      <c r="D7" s="1"/>
      <c r="F7" s="148"/>
      <c r="G7" s="148"/>
      <c r="H7" s="148"/>
      <c r="I7" s="148"/>
      <c r="J7" s="148"/>
      <c r="K7" s="148"/>
      <c r="L7" s="83"/>
      <c r="M7" s="83"/>
      <c r="N7" s="83"/>
      <c r="O7" s="44"/>
      <c r="P7" s="44"/>
      <c r="Q7" s="44"/>
      <c r="R7" s="44"/>
      <c r="S7" s="44"/>
    </row>
    <row r="8" spans="1:19" ht="46.2" customHeight="1" x14ac:dyDescent="0.3">
      <c r="A8" s="45" t="s">
        <v>10</v>
      </c>
      <c r="B8" s="10"/>
      <c r="C8" s="75">
        <v>0.3</v>
      </c>
      <c r="D8" s="46"/>
      <c r="E8" s="47" t="s">
        <v>9</v>
      </c>
      <c r="F8" s="82" t="s">
        <v>3</v>
      </c>
      <c r="G8" s="82" t="s">
        <v>4</v>
      </c>
      <c r="H8" s="82" t="s">
        <v>5</v>
      </c>
      <c r="I8" s="82" t="s">
        <v>6</v>
      </c>
      <c r="J8" s="82" t="s">
        <v>7</v>
      </c>
      <c r="K8" s="82" t="s">
        <v>43</v>
      </c>
      <c r="L8" s="84"/>
      <c r="M8" s="84"/>
      <c r="N8" s="84"/>
    </row>
    <row r="9" spans="1:19" ht="30" customHeight="1" x14ac:dyDescent="0.4">
      <c r="A9" s="45" t="s">
        <v>12</v>
      </c>
      <c r="B9" s="10"/>
      <c r="C9" s="76">
        <v>950</v>
      </c>
      <c r="D9" s="46"/>
      <c r="E9" s="45" t="s">
        <v>34</v>
      </c>
      <c r="F9" s="67">
        <v>120</v>
      </c>
      <c r="G9" s="67">
        <v>120</v>
      </c>
      <c r="H9" s="67">
        <v>120</v>
      </c>
      <c r="I9" s="67">
        <v>120</v>
      </c>
      <c r="J9" s="67">
        <v>94</v>
      </c>
      <c r="K9" s="67">
        <v>128</v>
      </c>
      <c r="L9" s="85"/>
      <c r="M9" s="85"/>
      <c r="N9" s="85"/>
    </row>
    <row r="10" spans="1:19" ht="33.6" x14ac:dyDescent="0.4">
      <c r="A10" s="45" t="s">
        <v>14</v>
      </c>
      <c r="B10" s="10"/>
      <c r="C10" s="76">
        <v>3880</v>
      </c>
      <c r="D10" s="46"/>
      <c r="E10" s="45" t="s">
        <v>35</v>
      </c>
      <c r="F10" s="67">
        <v>144</v>
      </c>
      <c r="G10" s="67">
        <v>144</v>
      </c>
      <c r="H10" s="67">
        <v>144</v>
      </c>
      <c r="I10" s="67">
        <v>144</v>
      </c>
      <c r="J10" s="67">
        <v>184</v>
      </c>
      <c r="K10" s="67">
        <v>144</v>
      </c>
      <c r="L10" s="85"/>
      <c r="M10" s="85"/>
      <c r="N10" s="85"/>
    </row>
    <row r="11" spans="1:19" ht="32.25" customHeight="1" x14ac:dyDescent="0.3">
      <c r="A11" s="45" t="s">
        <v>16</v>
      </c>
      <c r="B11" s="10"/>
      <c r="C11" s="75">
        <v>14</v>
      </c>
      <c r="E11" s="48" t="s">
        <v>11</v>
      </c>
      <c r="F11" s="77">
        <v>12</v>
      </c>
      <c r="G11" s="77">
        <v>13</v>
      </c>
      <c r="H11" s="77">
        <v>13</v>
      </c>
      <c r="I11" s="77">
        <v>12</v>
      </c>
      <c r="J11" s="77">
        <v>12</v>
      </c>
      <c r="K11" s="77">
        <v>12</v>
      </c>
      <c r="L11" s="86"/>
      <c r="M11" s="86"/>
      <c r="N11" s="86"/>
    </row>
    <row r="12" spans="1:19" ht="31.5" customHeight="1" x14ac:dyDescent="0.3">
      <c r="A12" s="45" t="s">
        <v>18</v>
      </c>
      <c r="B12" s="10"/>
      <c r="C12" s="49"/>
      <c r="E12" s="48" t="s">
        <v>13</v>
      </c>
      <c r="F12" s="77">
        <v>18</v>
      </c>
      <c r="G12" s="77">
        <v>16</v>
      </c>
      <c r="H12" s="77">
        <v>16</v>
      </c>
      <c r="I12" s="77">
        <v>17</v>
      </c>
      <c r="J12" s="77">
        <v>18</v>
      </c>
      <c r="K12" s="77">
        <v>19</v>
      </c>
      <c r="L12" s="86"/>
      <c r="M12" s="86"/>
      <c r="N12" s="86"/>
    </row>
    <row r="13" spans="1:19" ht="31.95" customHeight="1" x14ac:dyDescent="0.3">
      <c r="A13" s="50" t="s">
        <v>3</v>
      </c>
      <c r="B13" s="45"/>
      <c r="C13" s="76">
        <v>60000</v>
      </c>
      <c r="E13" s="51" t="s">
        <v>15</v>
      </c>
      <c r="F13" s="78">
        <f>SUM(F14:F18)</f>
        <v>57.61</v>
      </c>
      <c r="G13" s="78">
        <f t="shared" ref="G13:K13" si="0">SUM(G14:G18)</f>
        <v>57.62</v>
      </c>
      <c r="H13" s="78">
        <f t="shared" si="0"/>
        <v>57.67</v>
      </c>
      <c r="I13" s="78">
        <f t="shared" si="0"/>
        <v>57.62</v>
      </c>
      <c r="J13" s="78">
        <f t="shared" si="0"/>
        <v>57.92</v>
      </c>
      <c r="K13" s="78">
        <f t="shared" si="0"/>
        <v>56.35</v>
      </c>
      <c r="L13" s="87"/>
      <c r="M13" s="87"/>
      <c r="N13" s="87"/>
    </row>
    <row r="14" spans="1:19" ht="31.5" customHeight="1" x14ac:dyDescent="0.3">
      <c r="A14" s="91" t="s">
        <v>4</v>
      </c>
      <c r="B14" s="92"/>
      <c r="C14" s="76">
        <v>60000</v>
      </c>
      <c r="E14" s="45" t="s">
        <v>17</v>
      </c>
      <c r="F14" s="79">
        <f t="shared" ref="F14:K14" si="1">$C$7*12*1.302/F9/F10</f>
        <v>32.799999999999997</v>
      </c>
      <c r="G14" s="79">
        <f t="shared" si="1"/>
        <v>32.799999999999997</v>
      </c>
      <c r="H14" s="79">
        <f t="shared" si="1"/>
        <v>32.799999999999997</v>
      </c>
      <c r="I14" s="79">
        <f t="shared" si="1"/>
        <v>32.799999999999997</v>
      </c>
      <c r="J14" s="79">
        <f t="shared" si="1"/>
        <v>32.770000000000003</v>
      </c>
      <c r="K14" s="79">
        <f t="shared" si="1"/>
        <v>30.75</v>
      </c>
      <c r="L14" s="88"/>
      <c r="M14" s="88"/>
      <c r="N14" s="88"/>
    </row>
    <row r="15" spans="1:19" ht="30.75" customHeight="1" x14ac:dyDescent="0.3">
      <c r="A15" s="91" t="s">
        <v>5</v>
      </c>
      <c r="B15" s="92"/>
      <c r="C15" s="76">
        <v>66700</v>
      </c>
      <c r="E15" s="45" t="s">
        <v>19</v>
      </c>
      <c r="F15" s="79">
        <f t="shared" ref="F15:K15" si="2">F14*$C$8</f>
        <v>9.84</v>
      </c>
      <c r="G15" s="79">
        <f t="shared" si="2"/>
        <v>9.84</v>
      </c>
      <c r="H15" s="79">
        <f t="shared" si="2"/>
        <v>9.84</v>
      </c>
      <c r="I15" s="79">
        <f t="shared" si="2"/>
        <v>9.84</v>
      </c>
      <c r="J15" s="79">
        <f t="shared" si="2"/>
        <v>9.83</v>
      </c>
      <c r="K15" s="79">
        <f t="shared" si="2"/>
        <v>9.23</v>
      </c>
      <c r="L15" s="88"/>
      <c r="M15" s="88"/>
      <c r="N15" s="88"/>
    </row>
    <row r="16" spans="1:19" ht="31.5" customHeight="1" x14ac:dyDescent="0.3">
      <c r="A16" s="91" t="s">
        <v>6</v>
      </c>
      <c r="B16" s="92"/>
      <c r="C16" s="76">
        <v>60000</v>
      </c>
      <c r="E16" s="45" t="s">
        <v>20</v>
      </c>
      <c r="F16" s="80">
        <f>($C$9*14)/3/F9/F10+$C$10/F9/F10</f>
        <v>0.48</v>
      </c>
      <c r="G16" s="80">
        <f t="shared" ref="G16:K16" si="3">($C$9*14)/3/G9/G10+$C$10/G9/G10</f>
        <v>0.48</v>
      </c>
      <c r="H16" s="80">
        <f t="shared" si="3"/>
        <v>0.48</v>
      </c>
      <c r="I16" s="80">
        <f t="shared" si="3"/>
        <v>0.48</v>
      </c>
      <c r="J16" s="80">
        <f t="shared" si="3"/>
        <v>0.48</v>
      </c>
      <c r="K16" s="80">
        <f t="shared" si="3"/>
        <v>0.45</v>
      </c>
      <c r="L16" s="88"/>
      <c r="M16" s="88"/>
      <c r="N16" s="88"/>
    </row>
    <row r="17" spans="1:14" ht="31.5" customHeight="1" x14ac:dyDescent="0.3">
      <c r="A17" s="91" t="s">
        <v>7</v>
      </c>
      <c r="B17" s="92"/>
      <c r="C17" s="76">
        <v>107000</v>
      </c>
      <c r="E17" s="45" t="s">
        <v>21</v>
      </c>
      <c r="F17" s="79">
        <f t="shared" ref="F17:K17" si="4">((VLOOKUP(F8,$A$13:$C$18,3,FALSE))/7/$C$19/(AVERAGE(F11,F12)))+(($C$20*0.5)/5/$C$19)</f>
        <v>0.49</v>
      </c>
      <c r="G17" s="79">
        <f t="shared" si="4"/>
        <v>0.5</v>
      </c>
      <c r="H17" s="79">
        <f t="shared" si="4"/>
        <v>0.55000000000000004</v>
      </c>
      <c r="I17" s="79">
        <f t="shared" si="4"/>
        <v>0.5</v>
      </c>
      <c r="J17" s="79">
        <f t="shared" si="4"/>
        <v>0.84</v>
      </c>
      <c r="K17" s="79">
        <f t="shared" si="4"/>
        <v>1.92</v>
      </c>
      <c r="L17" s="88"/>
      <c r="M17" s="88"/>
      <c r="N17" s="88"/>
    </row>
    <row r="18" spans="1:14" ht="31.2" x14ac:dyDescent="0.3">
      <c r="A18" s="84" t="s">
        <v>43</v>
      </c>
      <c r="B18" s="84"/>
      <c r="C18" s="76">
        <v>261000</v>
      </c>
      <c r="E18" s="45" t="s">
        <v>22</v>
      </c>
      <c r="F18" s="79">
        <f t="shared" ref="F18:K18" si="5">$C$11</f>
        <v>14</v>
      </c>
      <c r="G18" s="79">
        <f t="shared" si="5"/>
        <v>14</v>
      </c>
      <c r="H18" s="79">
        <f t="shared" si="5"/>
        <v>14</v>
      </c>
      <c r="I18" s="79">
        <f t="shared" si="5"/>
        <v>14</v>
      </c>
      <c r="J18" s="79">
        <f t="shared" si="5"/>
        <v>14</v>
      </c>
      <c r="K18" s="79">
        <f t="shared" si="5"/>
        <v>14</v>
      </c>
      <c r="L18" s="88"/>
      <c r="M18" s="88"/>
      <c r="N18" s="88"/>
    </row>
    <row r="19" spans="1:14" ht="62.4" x14ac:dyDescent="0.3">
      <c r="A19" s="84" t="s">
        <v>23</v>
      </c>
      <c r="B19" s="93"/>
      <c r="C19" s="76">
        <v>1276</v>
      </c>
      <c r="E19" s="53" t="s">
        <v>41</v>
      </c>
      <c r="F19" s="129">
        <f>F9/(F11+F12)*2*(F10/36)</f>
        <v>32</v>
      </c>
      <c r="G19" s="129">
        <f t="shared" ref="G19:K19" si="6">G9/(G11+G12)*2*(G10/36)</f>
        <v>33.1</v>
      </c>
      <c r="H19" s="129">
        <f t="shared" si="6"/>
        <v>33.1</v>
      </c>
      <c r="I19" s="129">
        <f t="shared" si="6"/>
        <v>33.1</v>
      </c>
      <c r="J19" s="129">
        <f t="shared" si="6"/>
        <v>32.03</v>
      </c>
      <c r="K19" s="129">
        <f t="shared" si="6"/>
        <v>33.03</v>
      </c>
      <c r="L19" s="89"/>
      <c r="M19" s="89"/>
      <c r="N19" s="89"/>
    </row>
    <row r="20" spans="1:14" ht="31.2" x14ac:dyDescent="0.3">
      <c r="A20" s="84" t="s">
        <v>24</v>
      </c>
      <c r="B20" s="93"/>
      <c r="C20" s="75">
        <v>500</v>
      </c>
      <c r="H20" s="52"/>
      <c r="I20" s="52"/>
      <c r="J20" s="52"/>
      <c r="K20" s="52"/>
      <c r="L20" s="88"/>
      <c r="M20" s="88"/>
      <c r="N20" s="88"/>
    </row>
    <row r="21" spans="1:14" ht="21" customHeight="1" x14ac:dyDescent="0.4">
      <c r="A21" s="84"/>
      <c r="B21" s="84"/>
      <c r="E21" s="143" t="s">
        <v>50</v>
      </c>
      <c r="F21" s="143"/>
      <c r="G21" s="143"/>
      <c r="H21" s="143"/>
      <c r="I21" s="143"/>
      <c r="J21" s="143"/>
      <c r="K21" s="143"/>
      <c r="L21" s="90"/>
      <c r="M21" s="90"/>
      <c r="N21" s="90"/>
    </row>
    <row r="22" spans="1:14" ht="15.75" customHeight="1" x14ac:dyDescent="0.3">
      <c r="E22" s="142" t="s">
        <v>51</v>
      </c>
      <c r="F22" s="142"/>
      <c r="G22" s="144">
        <v>1</v>
      </c>
    </row>
    <row r="23" spans="1:14" ht="12.75" customHeight="1" x14ac:dyDescent="0.3">
      <c r="E23" s="142"/>
      <c r="F23" s="142"/>
      <c r="G23" s="144"/>
      <c r="H23" s="49"/>
      <c r="I23" s="49"/>
    </row>
    <row r="24" spans="1:14" ht="15.75" customHeight="1" x14ac:dyDescent="0.3">
      <c r="E24" s="142" t="s">
        <v>52</v>
      </c>
      <c r="F24" s="142"/>
      <c r="G24" s="36">
        <v>1</v>
      </c>
    </row>
    <row r="25" spans="1:14" ht="13.5" customHeight="1" x14ac:dyDescent="0.3">
      <c r="E25" s="142" t="s">
        <v>53</v>
      </c>
      <c r="F25" s="142"/>
      <c r="G25" s="36">
        <v>1</v>
      </c>
    </row>
    <row r="26" spans="1:14" x14ac:dyDescent="0.3">
      <c r="E26" s="140" t="s">
        <v>63</v>
      </c>
      <c r="F26" s="140"/>
      <c r="G26" s="136">
        <v>1</v>
      </c>
    </row>
  </sheetData>
  <mergeCells count="21">
    <mergeCell ref="I1:J1"/>
    <mergeCell ref="K1:L1"/>
    <mergeCell ref="S2:S3"/>
    <mergeCell ref="H4:I4"/>
    <mergeCell ref="B4:D4"/>
    <mergeCell ref="C2:D2"/>
    <mergeCell ref="C3:D3"/>
    <mergeCell ref="F4:G4"/>
    <mergeCell ref="A7:B7"/>
    <mergeCell ref="A2:B2"/>
    <mergeCell ref="A3:B3"/>
    <mergeCell ref="F7:K7"/>
    <mergeCell ref="B5:D5"/>
    <mergeCell ref="B6:D6"/>
    <mergeCell ref="E26:F26"/>
    <mergeCell ref="J4:N4"/>
    <mergeCell ref="E24:F24"/>
    <mergeCell ref="E25:F25"/>
    <mergeCell ref="E21:K21"/>
    <mergeCell ref="E22:F23"/>
    <mergeCell ref="G22:G23"/>
  </mergeCells>
  <pageMargins left="0.19685039370078741" right="0.19685039370078741" top="0.23622047244094491" bottom="0.31496062992125984" header="0.23622047244094491" footer="0.31496062992125984"/>
  <pageSetup paperSize="9" scale="5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C6655E60-450E-43FA-9E7B-FB7C510DD65A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A5</xm:sqref>
        </x14:conditionalFormatting>
        <x14:conditionalFormatting xmlns:xm="http://schemas.microsoft.com/office/excel/2006/main">
          <x14:cfRule type="iconSet" priority="6" id="{99B02640-7508-491D-8F19-328C8981611E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C2</xm:sqref>
        </x14:conditionalFormatting>
        <x14:conditionalFormatting xmlns:xm="http://schemas.microsoft.com/office/excel/2006/main">
          <x14:cfRule type="iconSet" priority="5" id="{7604D76A-B52B-412A-B449-B46F65451A58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4" id="{A320CDA7-3384-40C5-BC53-0D20F2A4A606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J2</xm:sqref>
        </x14:conditionalFormatting>
        <x14:conditionalFormatting xmlns:xm="http://schemas.microsoft.com/office/excel/2006/main">
          <x14:cfRule type="iconSet" priority="3" id="{629F1DC0-465A-45F4-A7A0-28566B018EAB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H2</xm:sqref>
        </x14:conditionalFormatting>
        <x14:conditionalFormatting xmlns:xm="http://schemas.microsoft.com/office/excel/2006/main">
          <x14:cfRule type="iconSet" priority="1" id="{4FE44E6D-EB1C-4C1C-B168-A902BF7B8AFA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F2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3"/>
  <sheetViews>
    <sheetView zoomScale="73" zoomScaleNormal="73" workbookViewId="0">
      <pane xSplit="1" ySplit="1" topLeftCell="B125" activePane="bottomRight" state="frozen"/>
      <selection pane="topRight" activeCell="B1" sqref="B1"/>
      <selection pane="bottomLeft" activeCell="A2" sqref="A2"/>
      <selection pane="bottomRight" activeCell="N149" sqref="N149"/>
    </sheetView>
  </sheetViews>
  <sheetFormatPr defaultColWidth="11" defaultRowHeight="15.6" x14ac:dyDescent="0.3"/>
  <cols>
    <col min="1" max="1" width="16.19921875" style="10" customWidth="1"/>
    <col min="2" max="2" width="21.3984375" style="10" customWidth="1"/>
    <col min="3" max="3" width="23" style="10" customWidth="1"/>
    <col min="4" max="4" width="11.5" style="10" customWidth="1"/>
    <col min="5" max="5" width="15" style="10" customWidth="1"/>
    <col min="6" max="6" width="12.09765625" style="11" customWidth="1"/>
    <col min="7" max="7" width="8.19921875" style="11" customWidth="1"/>
    <col min="8" max="8" width="8.19921875" style="11" hidden="1" customWidth="1"/>
    <col min="9" max="9" width="12.5" style="12" customWidth="1"/>
    <col min="10" max="10" width="10.59765625" style="9" customWidth="1"/>
    <col min="11" max="11" width="11.09765625" style="9" customWidth="1"/>
    <col min="12" max="12" width="15.59765625" customWidth="1"/>
    <col min="13" max="13" width="16.69921875" style="9" customWidth="1"/>
    <col min="14" max="14" width="15.5" style="9" customWidth="1"/>
    <col min="15" max="15" width="19.09765625" style="27" customWidth="1"/>
    <col min="16" max="16" width="16.19921875" customWidth="1"/>
    <col min="17" max="17" width="1.8984375" style="23" hidden="1" customWidth="1"/>
  </cols>
  <sheetData>
    <row r="1" spans="1:17" s="2" customFormat="1" ht="57" customHeight="1" x14ac:dyDescent="0.3">
      <c r="A1" s="114" t="s">
        <v>26</v>
      </c>
      <c r="B1" s="114" t="s">
        <v>27</v>
      </c>
      <c r="C1" s="114" t="s">
        <v>9</v>
      </c>
      <c r="D1" s="115" t="s">
        <v>8</v>
      </c>
      <c r="E1" s="115" t="s">
        <v>46</v>
      </c>
      <c r="F1" s="115" t="s">
        <v>32</v>
      </c>
      <c r="G1" s="115" t="s">
        <v>28</v>
      </c>
      <c r="H1" s="115"/>
      <c r="I1" s="116" t="s">
        <v>33</v>
      </c>
      <c r="J1" s="117" t="s">
        <v>29</v>
      </c>
      <c r="K1" s="117" t="s">
        <v>47</v>
      </c>
      <c r="L1" s="118" t="s">
        <v>48</v>
      </c>
      <c r="M1" s="117" t="s">
        <v>37</v>
      </c>
      <c r="N1" s="117" t="s">
        <v>44</v>
      </c>
      <c r="O1" s="119" t="s">
        <v>49</v>
      </c>
      <c r="Q1" s="22"/>
    </row>
    <row r="2" spans="1:17" x14ac:dyDescent="0.3">
      <c r="A2" s="94" t="s">
        <v>82</v>
      </c>
      <c r="B2" s="95" t="s">
        <v>83</v>
      </c>
      <c r="C2" s="120" t="s">
        <v>5</v>
      </c>
      <c r="D2" s="97">
        <v>36</v>
      </c>
      <c r="E2" s="98">
        <v>20</v>
      </c>
      <c r="F2" s="97">
        <v>4</v>
      </c>
      <c r="G2" s="97">
        <v>15</v>
      </c>
      <c r="H2" s="97">
        <f>E2*F2</f>
        <v>80</v>
      </c>
      <c r="I2" s="20">
        <v>108.6</v>
      </c>
      <c r="J2" s="4">
        <f>HLOOKUP($C2,'Параметры ПФ'!$F$8:$K$13,6,FALSE)</f>
        <v>57.67</v>
      </c>
      <c r="K2" s="4">
        <f>IF(I2=0,J2*F2*E2,IF(J2&gt;I2,I2*F2*E2,J2*F2*E2))</f>
        <v>4613.6000000000004</v>
      </c>
      <c r="L2" s="5">
        <f>IF(K2&lt;'Параметры ПФ'!J$3+0.01,'Стандартные программы'!K2,ROUNDDOWN('Параметры ПФ'!J$3/IF(I2=0,J2,IF(J2&gt;I2,I2,J2)),0)*IF(I2=0,J2,IF(J2&gt;I2,I2,J2)))</f>
        <v>4613.6000000000004</v>
      </c>
      <c r="M2" s="4">
        <f t="shared" ref="M2:M11" si="0">L2*G2</f>
        <v>69204</v>
      </c>
      <c r="N2" s="30">
        <f>IF(K2&lt;'Параметры ПФ'!J$3+0.01,E2*F2*G2,ROUNDDOWN('Параметры ПФ'!J$3/IF(I2=0,J2,IF(J2&gt;I2,I2,J2)),0)*G2)</f>
        <v>1200</v>
      </c>
      <c r="O2" s="25">
        <f>IF(I2=0,J2*F2*E2,IF(J2&gt;I2,I2*F2*E2,J2*F2*E2))-L2</f>
        <v>0</v>
      </c>
      <c r="Q2" s="23">
        <f>IF(O2=0,0,IF(O2&gt;'[1]Расчет нормативных затрат'!J$2/2,0,IF(O2&lt;'[1]Расчет нормативных затрат'!J$2/3,2,1)))</f>
        <v>0</v>
      </c>
    </row>
    <row r="3" spans="1:17" x14ac:dyDescent="0.3">
      <c r="A3" s="94" t="s">
        <v>82</v>
      </c>
      <c r="B3" s="99" t="s">
        <v>84</v>
      </c>
      <c r="C3" s="120" t="s">
        <v>5</v>
      </c>
      <c r="D3" s="100">
        <v>36</v>
      </c>
      <c r="E3" s="100">
        <v>16</v>
      </c>
      <c r="F3" s="101">
        <v>4</v>
      </c>
      <c r="G3" s="101">
        <v>15</v>
      </c>
      <c r="H3" s="97">
        <f t="shared" ref="H3:H66" si="1">E3*F3</f>
        <v>64</v>
      </c>
      <c r="I3" s="20">
        <v>108.6</v>
      </c>
      <c r="J3" s="4">
        <f>HLOOKUP($C3,'Параметры ПФ'!$F$8:$K$13,6,FALSE)</f>
        <v>57.67</v>
      </c>
      <c r="K3" s="4">
        <f t="shared" ref="K3:K11" si="2">IF(I3=0,J3*F3*E3,IF(J3&gt;I3,I3*F3*E3,J3*F3*E3))</f>
        <v>3690.88</v>
      </c>
      <c r="L3" s="5">
        <f>IF(K3&lt;'Параметры ПФ'!J$3+0.01,'Стандартные программы'!K3,ROUNDDOWN('Параметры ПФ'!J$3/IF(I3=0,J3,IF(J3&gt;I3,I3,J3)),0)*IF(I3=0,J3,IF(J3&gt;I3,I3,J3)))</f>
        <v>3690.88</v>
      </c>
      <c r="M3" s="4">
        <f t="shared" si="0"/>
        <v>55363.199999999997</v>
      </c>
      <c r="N3" s="30">
        <f>IF(K3&lt;'Параметры ПФ'!J$3+0.01,E3*F3*G3,ROUNDDOWN('Параметры ПФ'!J$3/IF(I3=0,J3,IF(J3&gt;I3,I3,J3)),0)*G3)</f>
        <v>960</v>
      </c>
      <c r="O3" s="25">
        <f t="shared" ref="O3:O11" si="3">IF(I3=0,J3*F3*E3,IF(J3&gt;I3,I3*F3*E3,J3*F3*E3))-L3</f>
        <v>0</v>
      </c>
      <c r="Q3" s="23">
        <f>IF(O3=0,0,IF(O3&gt;'[1]Расчет нормативных затрат'!J$2/2,0,IF(O3&lt;'[1]Расчет нормативных затрат'!J$2/3,2,1)))</f>
        <v>0</v>
      </c>
    </row>
    <row r="4" spans="1:17" x14ac:dyDescent="0.3">
      <c r="A4" s="94" t="s">
        <v>82</v>
      </c>
      <c r="B4" s="3" t="s">
        <v>85</v>
      </c>
      <c r="C4" s="121" t="s">
        <v>5</v>
      </c>
      <c r="D4" s="18">
        <v>36</v>
      </c>
      <c r="E4" s="18">
        <v>20</v>
      </c>
      <c r="F4" s="19">
        <v>4</v>
      </c>
      <c r="G4" s="19">
        <v>16</v>
      </c>
      <c r="H4" s="97">
        <f t="shared" si="1"/>
        <v>80</v>
      </c>
      <c r="I4" s="20">
        <v>108.6</v>
      </c>
      <c r="J4" s="4">
        <f>HLOOKUP($C4,'Параметры ПФ'!$F$8:$K$13,6,FALSE)</f>
        <v>57.67</v>
      </c>
      <c r="K4" s="4">
        <f t="shared" si="2"/>
        <v>4613.6000000000004</v>
      </c>
      <c r="L4" s="5">
        <f>IF(K4&lt;'Параметры ПФ'!J$3+0.01,'Стандартные программы'!K4,ROUNDDOWN('Параметры ПФ'!J$3/IF(I4=0,J4,IF(J4&gt;I4,I4,J4)),0)*IF(I4=0,J4,IF(J4&gt;I4,I4,J4)))</f>
        <v>4613.6000000000004</v>
      </c>
      <c r="M4" s="4">
        <f t="shared" si="0"/>
        <v>73817.600000000006</v>
      </c>
      <c r="N4" s="30">
        <f>IF(K4&lt;'Параметры ПФ'!J$3+0.01,E4*F4*G4,ROUNDDOWN('Параметры ПФ'!J$3/IF(I4=0,J4,IF(J4&gt;I4,I4,J4)),0)*G4)</f>
        <v>1280</v>
      </c>
      <c r="O4" s="25">
        <f t="shared" si="3"/>
        <v>0</v>
      </c>
      <c r="Q4" s="23">
        <f>IF(O4=0,0,IF(O4&gt;'[1]Расчет нормативных затрат'!J$2/2,0,IF(O4&lt;'[1]Расчет нормативных затрат'!J$2/3,2,1)))</f>
        <v>0</v>
      </c>
    </row>
    <row r="5" spans="1:17" x14ac:dyDescent="0.3">
      <c r="A5" s="94" t="s">
        <v>82</v>
      </c>
      <c r="B5" s="3" t="s">
        <v>86</v>
      </c>
      <c r="C5" s="121" t="s">
        <v>5</v>
      </c>
      <c r="D5" s="18">
        <v>36</v>
      </c>
      <c r="E5" s="18">
        <v>16</v>
      </c>
      <c r="F5" s="19">
        <v>4</v>
      </c>
      <c r="G5" s="19">
        <v>20</v>
      </c>
      <c r="H5" s="97">
        <f t="shared" si="1"/>
        <v>64</v>
      </c>
      <c r="I5" s="20">
        <v>108.6</v>
      </c>
      <c r="J5" s="4">
        <f>HLOOKUP($C5,'Параметры ПФ'!$F$8:$K$13,6,FALSE)</f>
        <v>57.67</v>
      </c>
      <c r="K5" s="4">
        <f t="shared" si="2"/>
        <v>3690.88</v>
      </c>
      <c r="L5" s="5">
        <f>IF(K5&lt;'Параметры ПФ'!J$3+0.01,'Стандартные программы'!K5,ROUNDDOWN('Параметры ПФ'!J$3/IF(I5=0,J5,IF(J5&gt;I5,I5,J5)),0)*IF(I5=0,J5,IF(J5&gt;I5,I5,J5)))</f>
        <v>3690.88</v>
      </c>
      <c r="M5" s="4">
        <f t="shared" si="0"/>
        <v>73817.600000000006</v>
      </c>
      <c r="N5" s="30">
        <f>IF(K5&lt;'Параметры ПФ'!J$3+0.01,E5*F5*G5,ROUNDDOWN('Параметры ПФ'!J$3/IF(I5=0,J5,IF(J5&gt;I5,I5,J5)),0)*G5)</f>
        <v>1280</v>
      </c>
      <c r="O5" s="25">
        <f t="shared" si="3"/>
        <v>0</v>
      </c>
      <c r="Q5" s="23">
        <f>IF(O5=0,0,IF(O5&gt;'[1]Расчет нормативных затрат'!J$2/2,0,IF(O5&lt;'[1]Расчет нормативных затрат'!J$2/3,2,1)))</f>
        <v>0</v>
      </c>
    </row>
    <row r="6" spans="1:17" x14ac:dyDescent="0.3">
      <c r="A6" s="94" t="s">
        <v>82</v>
      </c>
      <c r="B6" s="96" t="s">
        <v>87</v>
      </c>
      <c r="C6" s="120" t="s">
        <v>5</v>
      </c>
      <c r="D6" s="102">
        <v>36</v>
      </c>
      <c r="E6" s="102">
        <v>20</v>
      </c>
      <c r="F6" s="103">
        <v>4</v>
      </c>
      <c r="G6" s="103">
        <v>32</v>
      </c>
      <c r="H6" s="97">
        <f t="shared" si="1"/>
        <v>80</v>
      </c>
      <c r="I6" s="20">
        <v>108.6</v>
      </c>
      <c r="J6" s="4">
        <f>HLOOKUP($C6,'Параметры ПФ'!$F$8:$K$13,6,FALSE)</f>
        <v>57.67</v>
      </c>
      <c r="K6" s="4">
        <f t="shared" si="2"/>
        <v>4613.6000000000004</v>
      </c>
      <c r="L6" s="5">
        <f>IF(K6&lt;'Параметры ПФ'!J$3+0.01,'Стандартные программы'!K6,ROUNDDOWN('Параметры ПФ'!J$3/IF(I6=0,J6,IF(J6&gt;I6,I6,J6)),0)*IF(I6=0,J6,IF(J6&gt;I6,I6,J6)))</f>
        <v>4613.6000000000004</v>
      </c>
      <c r="M6" s="4">
        <f t="shared" si="0"/>
        <v>147635.20000000001</v>
      </c>
      <c r="N6" s="30">
        <f>IF(K6&lt;'Параметры ПФ'!J$3+0.01,E6*F6*G6,ROUNDDOWN('Параметры ПФ'!J$3/IF(I6=0,J6,IF(J6&gt;I6,I6,J6)),0)*G6)</f>
        <v>2560</v>
      </c>
      <c r="O6" s="25">
        <f t="shared" si="3"/>
        <v>0</v>
      </c>
      <c r="Q6" s="23">
        <f>IF(O6=0,0,IF(O6&gt;'[1]Расчет нормативных затрат'!J$2/2,0,IF(O6&lt;'[1]Расчет нормативных затрат'!J$2/3,2,1)))</f>
        <v>0</v>
      </c>
    </row>
    <row r="7" spans="1:17" x14ac:dyDescent="0.3">
      <c r="A7" s="94" t="s">
        <v>82</v>
      </c>
      <c r="B7" s="96" t="s">
        <v>88</v>
      </c>
      <c r="C7" s="120" t="s">
        <v>5</v>
      </c>
      <c r="D7" s="102">
        <v>36</v>
      </c>
      <c r="E7" s="102">
        <v>16</v>
      </c>
      <c r="F7" s="103">
        <v>4</v>
      </c>
      <c r="G7" s="103">
        <v>36</v>
      </c>
      <c r="H7" s="97">
        <f t="shared" si="1"/>
        <v>64</v>
      </c>
      <c r="I7" s="20">
        <v>108.6</v>
      </c>
      <c r="J7" s="4">
        <f>HLOOKUP($C7,'Параметры ПФ'!$F$8:$K$13,6,FALSE)</f>
        <v>57.67</v>
      </c>
      <c r="K7" s="4">
        <f t="shared" si="2"/>
        <v>3690.88</v>
      </c>
      <c r="L7" s="5">
        <f>IF(K7&lt;'Параметры ПФ'!J$3+0.01,'Стандартные программы'!K7,ROUNDDOWN('Параметры ПФ'!J$3/IF(I7=0,J7,IF(J7&gt;I7,I7,J7)),0)*IF(I7=0,J7,IF(J7&gt;I7,I7,J7)))</f>
        <v>3690.88</v>
      </c>
      <c r="M7" s="4">
        <f t="shared" si="0"/>
        <v>132871.67999999999</v>
      </c>
      <c r="N7" s="30">
        <f>IF(K7&lt;'Параметры ПФ'!J$3+0.01,E7*F7*G7,ROUNDDOWN('Параметры ПФ'!J$3/IF(I7=0,J7,IF(J7&gt;I7,I7,J7)),0)*G7)</f>
        <v>2304</v>
      </c>
      <c r="O7" s="25">
        <f t="shared" si="3"/>
        <v>0</v>
      </c>
      <c r="Q7" s="23">
        <f>IF(O7=0,0,IF(O7&gt;'[1]Расчет нормативных затрат'!J$2/2,0,IF(O7&lt;'[1]Расчет нормативных затрат'!J$2/3,2,1)))</f>
        <v>0</v>
      </c>
    </row>
    <row r="8" spans="1:17" x14ac:dyDescent="0.3">
      <c r="A8" s="94" t="s">
        <v>82</v>
      </c>
      <c r="B8" s="3" t="s">
        <v>89</v>
      </c>
      <c r="C8" s="121" t="s">
        <v>5</v>
      </c>
      <c r="D8" s="18">
        <v>36</v>
      </c>
      <c r="E8" s="18">
        <v>20</v>
      </c>
      <c r="F8" s="19">
        <v>4</v>
      </c>
      <c r="G8" s="19">
        <v>16</v>
      </c>
      <c r="H8" s="97">
        <f t="shared" si="1"/>
        <v>80</v>
      </c>
      <c r="I8" s="20">
        <v>108.6</v>
      </c>
      <c r="J8" s="4">
        <f>HLOOKUP($C8,'Параметры ПФ'!$F$8:$K$13,6,FALSE)</f>
        <v>57.67</v>
      </c>
      <c r="K8" s="4">
        <f t="shared" si="2"/>
        <v>4613.6000000000004</v>
      </c>
      <c r="L8" s="5">
        <f>IF(K8&lt;'Параметры ПФ'!J$3+0.01,'Стандартные программы'!K8,ROUNDDOWN('Параметры ПФ'!J$3/IF(I8=0,J8,IF(J8&gt;I8,I8,J8)),0)*IF(I8=0,J8,IF(J8&gt;I8,I8,J8)))</f>
        <v>4613.6000000000004</v>
      </c>
      <c r="M8" s="4">
        <f t="shared" si="0"/>
        <v>73817.600000000006</v>
      </c>
      <c r="N8" s="30">
        <f>IF(K8&lt;'Параметры ПФ'!J$3+0.01,E8*F8*G8,ROUNDDOWN('Параметры ПФ'!J$3/IF(I8=0,J8,IF(J8&gt;I8,I8,J8)),0)*G8)</f>
        <v>1280</v>
      </c>
      <c r="O8" s="25">
        <f t="shared" si="3"/>
        <v>0</v>
      </c>
      <c r="Q8" s="23">
        <f>IF(O8=0,0,IF(O8&gt;'[1]Расчет нормативных затрат'!J$2/2,0,IF(O8&lt;'[1]Расчет нормативных затрат'!J$2/3,2,1)))</f>
        <v>0</v>
      </c>
    </row>
    <row r="9" spans="1:17" x14ac:dyDescent="0.3">
      <c r="A9" s="94" t="s">
        <v>82</v>
      </c>
      <c r="B9" s="3" t="s">
        <v>87</v>
      </c>
      <c r="C9" s="121" t="s">
        <v>5</v>
      </c>
      <c r="D9" s="18">
        <v>36</v>
      </c>
      <c r="E9" s="18">
        <v>16</v>
      </c>
      <c r="F9" s="19">
        <v>4</v>
      </c>
      <c r="G9" s="19">
        <v>20</v>
      </c>
      <c r="H9" s="97">
        <f t="shared" si="1"/>
        <v>64</v>
      </c>
      <c r="I9" s="20">
        <v>108.6</v>
      </c>
      <c r="J9" s="4">
        <f>HLOOKUP($C9,'Параметры ПФ'!$F$8:$K$13,6,FALSE)</f>
        <v>57.67</v>
      </c>
      <c r="K9" s="4">
        <f t="shared" si="2"/>
        <v>3690.88</v>
      </c>
      <c r="L9" s="5">
        <f>IF(K9&lt;'Параметры ПФ'!J$3+0.01,'Стандартные программы'!K9,ROUNDDOWN('Параметры ПФ'!J$3/IF(I9=0,J9,IF(J9&gt;I9,I9,J9)),0)*IF(I9=0,J9,IF(J9&gt;I9,I9,J9)))</f>
        <v>3690.88</v>
      </c>
      <c r="M9" s="4">
        <f t="shared" si="0"/>
        <v>73817.600000000006</v>
      </c>
      <c r="N9" s="30">
        <f>IF(K9&lt;'Параметры ПФ'!J$3+0.01,E9*F9*G9,ROUNDDOWN('Параметры ПФ'!J$3/IF(I9=0,J9,IF(J9&gt;I9,I9,J9)),0)*G9)</f>
        <v>1280</v>
      </c>
      <c r="O9" s="25">
        <f t="shared" si="3"/>
        <v>0</v>
      </c>
      <c r="Q9" s="23">
        <f>IF(O9=0,0,IF(O9&gt;'[1]Расчет нормативных затрат'!J$2/2,0,IF(O9&lt;'[1]Расчет нормативных затрат'!J$2/3,2,1)))</f>
        <v>0</v>
      </c>
    </row>
    <row r="10" spans="1:17" x14ac:dyDescent="0.3">
      <c r="A10" s="94" t="s">
        <v>82</v>
      </c>
      <c r="B10" s="96" t="s">
        <v>90</v>
      </c>
      <c r="C10" s="120" t="s">
        <v>5</v>
      </c>
      <c r="D10" s="102">
        <v>36</v>
      </c>
      <c r="E10" s="102">
        <v>16</v>
      </c>
      <c r="F10" s="103">
        <v>4</v>
      </c>
      <c r="G10" s="103">
        <v>20</v>
      </c>
      <c r="H10" s="97">
        <f t="shared" si="1"/>
        <v>64</v>
      </c>
      <c r="I10" s="20">
        <v>108.6</v>
      </c>
      <c r="J10" s="4">
        <f>HLOOKUP($C10,'Параметры ПФ'!$F$8:$K$13,6,FALSE)</f>
        <v>57.67</v>
      </c>
      <c r="K10" s="4">
        <f t="shared" si="2"/>
        <v>3690.88</v>
      </c>
      <c r="L10" s="5">
        <f>IF(K10&lt;'Параметры ПФ'!J$3+0.01,'Стандартные программы'!K10,ROUNDDOWN('Параметры ПФ'!J$3/IF(I10=0,J10,IF(J10&gt;I10,I10,J10)),0)*IF(I10=0,J10,IF(J10&gt;I10,I10,J10)))</f>
        <v>3690.88</v>
      </c>
      <c r="M10" s="4">
        <f t="shared" si="0"/>
        <v>73817.600000000006</v>
      </c>
      <c r="N10" s="30">
        <f>IF(K10&lt;'Параметры ПФ'!J$3+0.01,E10*F10*G10,ROUNDDOWN('Параметры ПФ'!J$3/IF(I10=0,J10,IF(J10&gt;I10,I10,J10)),0)*G10)</f>
        <v>1280</v>
      </c>
      <c r="O10" s="25">
        <f t="shared" si="3"/>
        <v>0</v>
      </c>
      <c r="Q10" s="23">
        <f>IF(O10=0,0,IF(O10&gt;'[1]Расчет нормативных затрат'!J$2/2,0,IF(O10&lt;'[1]Расчет нормативных затрат'!J$2/3,2,1)))</f>
        <v>0</v>
      </c>
    </row>
    <row r="11" spans="1:17" x14ac:dyDescent="0.3">
      <c r="A11" s="94" t="s">
        <v>82</v>
      </c>
      <c r="B11" s="3" t="s">
        <v>91</v>
      </c>
      <c r="C11" s="121" t="s">
        <v>5</v>
      </c>
      <c r="D11" s="18">
        <v>36</v>
      </c>
      <c r="E11" s="18">
        <v>20</v>
      </c>
      <c r="F11" s="19">
        <v>4</v>
      </c>
      <c r="G11" s="19">
        <v>17</v>
      </c>
      <c r="H11" s="97">
        <f t="shared" si="1"/>
        <v>80</v>
      </c>
      <c r="I11" s="20">
        <v>108.6</v>
      </c>
      <c r="J11" s="4">
        <f>HLOOKUP($C11,'Параметры ПФ'!$F$8:$K$13,6,FALSE)</f>
        <v>57.67</v>
      </c>
      <c r="K11" s="4">
        <f t="shared" si="2"/>
        <v>4613.6000000000004</v>
      </c>
      <c r="L11" s="5">
        <f>IF(K11&lt;'Параметры ПФ'!J$3+0.01,'Стандартные программы'!K11,ROUNDDOWN('Параметры ПФ'!J$3/IF(I11=0,J11,IF(J11&gt;I11,I11,J11)),0)*IF(I11=0,J11,IF(J11&gt;I11,I11,J11)))</f>
        <v>4613.6000000000004</v>
      </c>
      <c r="M11" s="4">
        <f t="shared" si="0"/>
        <v>78431.199999999997</v>
      </c>
      <c r="N11" s="30">
        <f>IF(K11&lt;'Параметры ПФ'!J$3+0.01,E11*F11*G11,ROUNDDOWN('Параметры ПФ'!J$3/IF(I11=0,J11,IF(J11&gt;I11,I11,J11)),0)*G11)</f>
        <v>1360</v>
      </c>
      <c r="O11" s="25">
        <f t="shared" si="3"/>
        <v>0</v>
      </c>
      <c r="Q11" s="23">
        <f>IF(O11=0,0,IF(O11&gt;'[1]Расчет нормативных затрат'!J$2/2,0,IF(O11&lt;'[1]Расчет нормативных затрат'!J$2/3,2,1)))</f>
        <v>0</v>
      </c>
    </row>
    <row r="12" spans="1:17" x14ac:dyDescent="0.3">
      <c r="A12" s="94" t="s">
        <v>82</v>
      </c>
      <c r="B12" s="3" t="s">
        <v>92</v>
      </c>
      <c r="C12" s="121" t="s">
        <v>5</v>
      </c>
      <c r="D12" s="18">
        <v>36</v>
      </c>
      <c r="E12" s="18">
        <v>16</v>
      </c>
      <c r="F12" s="19">
        <v>4</v>
      </c>
      <c r="G12" s="19">
        <v>20</v>
      </c>
      <c r="H12" s="97">
        <f t="shared" si="1"/>
        <v>64</v>
      </c>
      <c r="I12" s="20">
        <v>108.6</v>
      </c>
      <c r="J12" s="4">
        <f>HLOOKUP($C12,'Параметры ПФ'!$F$8:$K$13,6,FALSE)</f>
        <v>57.67</v>
      </c>
      <c r="K12" s="4">
        <f t="shared" ref="K12:K75" si="4">IF(I12=0,J12*F12*E12,IF(J12&gt;I12,I12*F12*E12,J12*F12*E12))</f>
        <v>3690.88</v>
      </c>
      <c r="L12" s="5">
        <f>IF(K12&lt;'Параметры ПФ'!J$3+0.01,'Стандартные программы'!K12,ROUNDDOWN('Параметры ПФ'!J$3/IF(I12=0,J12,IF(J12&gt;I12,I12,J12)),0)*IF(I12=0,J12,IF(J12&gt;I12,I12,J12)))</f>
        <v>3690.88</v>
      </c>
      <c r="M12" s="4">
        <f t="shared" ref="M12:M75" si="5">L12*G12</f>
        <v>73817.600000000006</v>
      </c>
      <c r="N12" s="30">
        <f>IF(K12&lt;'Параметры ПФ'!J$3+0.01,E12*F12*G12,ROUNDDOWN('Параметры ПФ'!J$3/IF(I12=0,J12,IF(J12&gt;I12,I12,J12)),0)*G12)</f>
        <v>1280</v>
      </c>
      <c r="O12" s="25"/>
    </row>
    <row r="13" spans="1:17" x14ac:dyDescent="0.3">
      <c r="A13" s="94" t="s">
        <v>82</v>
      </c>
      <c r="B13" s="96" t="s">
        <v>92</v>
      </c>
      <c r="C13" s="120" t="s">
        <v>5</v>
      </c>
      <c r="D13" s="102">
        <v>36</v>
      </c>
      <c r="E13" s="102">
        <v>20</v>
      </c>
      <c r="F13" s="103">
        <v>4</v>
      </c>
      <c r="G13" s="103">
        <v>32</v>
      </c>
      <c r="H13" s="97">
        <f t="shared" si="1"/>
        <v>80</v>
      </c>
      <c r="I13" s="20">
        <v>108.6</v>
      </c>
      <c r="J13" s="4">
        <f>HLOOKUP($C13,'Параметры ПФ'!$F$8:$K$13,6,FALSE)</f>
        <v>57.67</v>
      </c>
      <c r="K13" s="4">
        <f t="shared" si="4"/>
        <v>4613.6000000000004</v>
      </c>
      <c r="L13" s="5">
        <f>IF(K13&lt;'Параметры ПФ'!J$3+0.01,'Стандартные программы'!K13,ROUNDDOWN('Параметры ПФ'!J$3/IF(I13=0,J13,IF(J13&gt;I13,I13,J13)),0)*IF(I13=0,J13,IF(J13&gt;I13,I13,J13)))</f>
        <v>4613.6000000000004</v>
      </c>
      <c r="M13" s="4">
        <f t="shared" si="5"/>
        <v>147635.20000000001</v>
      </c>
      <c r="N13" s="30">
        <f>IF(K13&lt;'Параметры ПФ'!J$3+0.01,E13*F13*G13,ROUNDDOWN('Параметры ПФ'!J$3/IF(I13=0,J13,IF(J13&gt;I13,I13,J13)),0)*G13)</f>
        <v>2560</v>
      </c>
      <c r="O13" s="25"/>
    </row>
    <row r="14" spans="1:17" x14ac:dyDescent="0.3">
      <c r="A14" s="94" t="s">
        <v>82</v>
      </c>
      <c r="B14" s="96" t="s">
        <v>93</v>
      </c>
      <c r="C14" s="120" t="s">
        <v>5</v>
      </c>
      <c r="D14" s="102">
        <v>36</v>
      </c>
      <c r="E14" s="102">
        <v>16</v>
      </c>
      <c r="F14" s="103">
        <v>4</v>
      </c>
      <c r="G14" s="103">
        <v>36</v>
      </c>
      <c r="H14" s="97">
        <f t="shared" si="1"/>
        <v>64</v>
      </c>
      <c r="I14" s="20">
        <v>108.6</v>
      </c>
      <c r="J14" s="4">
        <f>HLOOKUP($C14,'Параметры ПФ'!$F$8:$K$13,6,FALSE)</f>
        <v>57.67</v>
      </c>
      <c r="K14" s="4">
        <f t="shared" si="4"/>
        <v>3690.88</v>
      </c>
      <c r="L14" s="5">
        <f>IF(K14&lt;'Параметры ПФ'!J$3+0.01,'Стандартные программы'!K14,ROUNDDOWN('Параметры ПФ'!J$3/IF(I14=0,J14,IF(J14&gt;I14,I14,J14)),0)*IF(I14=0,J14,IF(J14&gt;I14,I14,J14)))</f>
        <v>3690.88</v>
      </c>
      <c r="M14" s="4">
        <f t="shared" si="5"/>
        <v>132871.67999999999</v>
      </c>
      <c r="N14" s="30">
        <f>IF(K14&lt;'Параметры ПФ'!J$3+0.01,E14*F14*G14,ROUNDDOWN('Параметры ПФ'!J$3/IF(I14=0,J14,IF(J14&gt;I14,I14,J14)),0)*G14)</f>
        <v>2304</v>
      </c>
      <c r="O14" s="25"/>
    </row>
    <row r="15" spans="1:17" x14ac:dyDescent="0.3">
      <c r="A15" s="94" t="s">
        <v>82</v>
      </c>
      <c r="B15" s="3" t="s">
        <v>94</v>
      </c>
      <c r="C15" s="121" t="s">
        <v>5</v>
      </c>
      <c r="D15" s="18">
        <v>36</v>
      </c>
      <c r="E15" s="18">
        <v>20</v>
      </c>
      <c r="F15" s="19">
        <v>4</v>
      </c>
      <c r="G15" s="19">
        <v>16</v>
      </c>
      <c r="H15" s="97">
        <f t="shared" si="1"/>
        <v>80</v>
      </c>
      <c r="I15" s="20">
        <v>108.6</v>
      </c>
      <c r="J15" s="4">
        <f>HLOOKUP($C15,'Параметры ПФ'!$F$8:$K$13,6,FALSE)</f>
        <v>57.67</v>
      </c>
      <c r="K15" s="4">
        <f t="shared" si="4"/>
        <v>4613.6000000000004</v>
      </c>
      <c r="L15" s="5">
        <f>IF(K15&lt;'Параметры ПФ'!J$3+0.01,'Стандартные программы'!K15,ROUNDDOWN('Параметры ПФ'!J$3/IF(I15=0,J15,IF(J15&gt;I15,I15,J15)),0)*IF(I15=0,J15,IF(J15&gt;I15,I15,J15)))</f>
        <v>4613.6000000000004</v>
      </c>
      <c r="M15" s="4">
        <f t="shared" si="5"/>
        <v>73817.600000000006</v>
      </c>
      <c r="N15" s="30">
        <f>IF(K15&lt;'Параметры ПФ'!J$3+0.01,E15*F15*G15,ROUNDDOWN('Параметры ПФ'!J$3/IF(I15=0,J15,IF(J15&gt;I15,I15,J15)),0)*G15)</f>
        <v>1280</v>
      </c>
      <c r="O15" s="25"/>
    </row>
    <row r="16" spans="1:17" x14ac:dyDescent="0.3">
      <c r="A16" s="94" t="s">
        <v>82</v>
      </c>
      <c r="B16" s="3" t="s">
        <v>95</v>
      </c>
      <c r="C16" s="121" t="s">
        <v>5</v>
      </c>
      <c r="D16" s="18">
        <v>36</v>
      </c>
      <c r="E16" s="18">
        <v>16</v>
      </c>
      <c r="F16" s="19">
        <v>4</v>
      </c>
      <c r="G16" s="19">
        <v>20</v>
      </c>
      <c r="H16" s="97">
        <f t="shared" si="1"/>
        <v>64</v>
      </c>
      <c r="I16" s="20">
        <v>108.6</v>
      </c>
      <c r="J16" s="4">
        <f>HLOOKUP($C16,'Параметры ПФ'!$F$8:$K$13,6,FALSE)</f>
        <v>57.67</v>
      </c>
      <c r="K16" s="4">
        <f t="shared" si="4"/>
        <v>3690.88</v>
      </c>
      <c r="L16" s="5">
        <f>IF(K16&lt;'Параметры ПФ'!J$3+0.01,'Стандартные программы'!K16,ROUNDDOWN('Параметры ПФ'!J$3/IF(I16=0,J16,IF(J16&gt;I16,I16,J16)),0)*IF(I16=0,J16,IF(J16&gt;I16,I16,J16)))</f>
        <v>3690.88</v>
      </c>
      <c r="M16" s="4">
        <f t="shared" si="5"/>
        <v>73817.600000000006</v>
      </c>
      <c r="N16" s="30">
        <f>IF(K16&lt;'Параметры ПФ'!J$3+0.01,E16*F16*G16,ROUNDDOWN('Параметры ПФ'!J$3/IF(I16=0,J16,IF(J16&gt;I16,I16,J16)),0)*G16)</f>
        <v>1280</v>
      </c>
      <c r="O16" s="25"/>
    </row>
    <row r="17" spans="1:15" x14ac:dyDescent="0.3">
      <c r="A17" s="94" t="s">
        <v>82</v>
      </c>
      <c r="B17" s="96" t="s">
        <v>96</v>
      </c>
      <c r="C17" s="120" t="s">
        <v>5</v>
      </c>
      <c r="D17" s="102">
        <v>36</v>
      </c>
      <c r="E17" s="102">
        <v>20</v>
      </c>
      <c r="F17" s="103">
        <v>4</v>
      </c>
      <c r="G17" s="103">
        <v>16</v>
      </c>
      <c r="H17" s="97">
        <f t="shared" si="1"/>
        <v>80</v>
      </c>
      <c r="I17" s="20">
        <v>108.6</v>
      </c>
      <c r="J17" s="4">
        <f>HLOOKUP($C17,'Параметры ПФ'!$F$8:$K$13,6,FALSE)</f>
        <v>57.67</v>
      </c>
      <c r="K17" s="4">
        <f t="shared" si="4"/>
        <v>4613.6000000000004</v>
      </c>
      <c r="L17" s="5">
        <f>IF(K17&lt;'Параметры ПФ'!J$3+0.01,'Стандартные программы'!K17,ROUNDDOWN('Параметры ПФ'!J$3/IF(I17=0,J17,IF(J17&gt;I17,I17,J17)),0)*IF(I17=0,J17,IF(J17&gt;I17,I17,J17)))</f>
        <v>4613.6000000000004</v>
      </c>
      <c r="M17" s="4">
        <f t="shared" si="5"/>
        <v>73817.600000000006</v>
      </c>
      <c r="N17" s="30">
        <f>IF(K17&lt;'Параметры ПФ'!J$3+0.01,E17*F17*G17,ROUNDDOWN('Параметры ПФ'!J$3/IF(I17=0,J17,IF(J17&gt;I17,I17,J17)),0)*G17)</f>
        <v>1280</v>
      </c>
      <c r="O17" s="25"/>
    </row>
    <row r="18" spans="1:15" x14ac:dyDescent="0.3">
      <c r="A18" s="94" t="s">
        <v>82</v>
      </c>
      <c r="B18" s="96" t="s">
        <v>97</v>
      </c>
      <c r="C18" s="120" t="s">
        <v>5</v>
      </c>
      <c r="D18" s="102">
        <v>36</v>
      </c>
      <c r="E18" s="102">
        <v>16</v>
      </c>
      <c r="F18" s="103">
        <v>4</v>
      </c>
      <c r="G18" s="103">
        <v>20</v>
      </c>
      <c r="H18" s="97">
        <f t="shared" si="1"/>
        <v>64</v>
      </c>
      <c r="I18" s="20">
        <v>108.6</v>
      </c>
      <c r="J18" s="4">
        <f>HLOOKUP($C18,'Параметры ПФ'!$F$8:$K$13,6,FALSE)</f>
        <v>57.67</v>
      </c>
      <c r="K18" s="4">
        <f t="shared" si="4"/>
        <v>3690.88</v>
      </c>
      <c r="L18" s="5">
        <f>IF(K18&lt;'Параметры ПФ'!J$3+0.01,'Стандартные программы'!K18,ROUNDDOWN('Параметры ПФ'!J$3/IF(I18=0,J18,IF(J18&gt;I18,I18,J18)),0)*IF(I18=0,J18,IF(J18&gt;I18,I18,J18)))</f>
        <v>3690.88</v>
      </c>
      <c r="M18" s="4">
        <f t="shared" si="5"/>
        <v>73817.600000000006</v>
      </c>
      <c r="N18" s="30">
        <f>IF(K18&lt;'Параметры ПФ'!J$3+0.01,E18*F18*G18,ROUNDDOWN('Параметры ПФ'!J$3/IF(I18=0,J18,IF(J18&gt;I18,I18,J18)),0)*G18)</f>
        <v>1280</v>
      </c>
      <c r="O18" s="25"/>
    </row>
    <row r="19" spans="1:15" x14ac:dyDescent="0.3">
      <c r="A19" s="94" t="s">
        <v>82</v>
      </c>
      <c r="B19" s="3" t="s">
        <v>98</v>
      </c>
      <c r="C19" s="121" t="s">
        <v>5</v>
      </c>
      <c r="D19" s="18">
        <v>36</v>
      </c>
      <c r="E19" s="18">
        <v>20</v>
      </c>
      <c r="F19" s="19">
        <v>4</v>
      </c>
      <c r="G19" s="19">
        <v>16</v>
      </c>
      <c r="H19" s="97">
        <f t="shared" si="1"/>
        <v>80</v>
      </c>
      <c r="I19" s="20">
        <v>108.6</v>
      </c>
      <c r="J19" s="4">
        <f>HLOOKUP($C19,'Параметры ПФ'!$F$8:$K$13,6,FALSE)</f>
        <v>57.67</v>
      </c>
      <c r="K19" s="4">
        <f t="shared" si="4"/>
        <v>4613.6000000000004</v>
      </c>
      <c r="L19" s="5">
        <f>IF(K19&lt;'Параметры ПФ'!J$3+0.01,'Стандартные программы'!K19,ROUNDDOWN('Параметры ПФ'!J$3/IF(I19=0,J19,IF(J19&gt;I19,I19,J19)),0)*IF(I19=0,J19,IF(J19&gt;I19,I19,J19)))</f>
        <v>4613.6000000000004</v>
      </c>
      <c r="M19" s="4">
        <f t="shared" si="5"/>
        <v>73817.600000000006</v>
      </c>
      <c r="N19" s="30">
        <f>IF(K19&lt;'Параметры ПФ'!J$3+0.01,E19*F19*G19,ROUNDDOWN('Параметры ПФ'!J$3/IF(I19=0,J19,IF(J19&gt;I19,I19,J19)),0)*G19)</f>
        <v>1280</v>
      </c>
      <c r="O19" s="25"/>
    </row>
    <row r="20" spans="1:15" x14ac:dyDescent="0.3">
      <c r="A20" s="94" t="s">
        <v>82</v>
      </c>
      <c r="B20" s="3" t="s">
        <v>99</v>
      </c>
      <c r="C20" s="121" t="s">
        <v>5</v>
      </c>
      <c r="D20" s="18">
        <v>36</v>
      </c>
      <c r="E20" s="18">
        <v>16</v>
      </c>
      <c r="F20" s="19">
        <v>4</v>
      </c>
      <c r="G20" s="19">
        <v>18</v>
      </c>
      <c r="H20" s="97">
        <f t="shared" si="1"/>
        <v>64</v>
      </c>
      <c r="I20" s="20">
        <v>108.6</v>
      </c>
      <c r="J20" s="4">
        <f>HLOOKUP($C20,'Параметры ПФ'!$F$8:$K$13,6,FALSE)</f>
        <v>57.67</v>
      </c>
      <c r="K20" s="4">
        <f t="shared" si="4"/>
        <v>3690.88</v>
      </c>
      <c r="L20" s="5">
        <f>IF(K20&lt;'Параметры ПФ'!J$3+0.01,'Стандартные программы'!K20,ROUNDDOWN('Параметры ПФ'!J$3/IF(I20=0,J20,IF(J20&gt;I20,I20,J20)),0)*IF(I20=0,J20,IF(J20&gt;I20,I20,J20)))</f>
        <v>3690.88</v>
      </c>
      <c r="M20" s="4">
        <f t="shared" si="5"/>
        <v>66435.839999999997</v>
      </c>
      <c r="N20" s="30">
        <f>IF(K20&lt;'Параметры ПФ'!J$3+0.01,E20*F20*G20,ROUNDDOWN('Параметры ПФ'!J$3/IF(I20=0,J20,IF(J20&gt;I20,I20,J20)),0)*G20)</f>
        <v>1152</v>
      </c>
      <c r="O20" s="25"/>
    </row>
    <row r="21" spans="1:15" x14ac:dyDescent="0.3">
      <c r="A21" s="94" t="s">
        <v>82</v>
      </c>
      <c r="B21" s="96" t="s">
        <v>100</v>
      </c>
      <c r="C21" s="120" t="s">
        <v>5</v>
      </c>
      <c r="D21" s="102">
        <v>36</v>
      </c>
      <c r="E21" s="102">
        <v>20</v>
      </c>
      <c r="F21" s="103">
        <v>4</v>
      </c>
      <c r="G21" s="103">
        <v>16</v>
      </c>
      <c r="H21" s="97">
        <f t="shared" si="1"/>
        <v>80</v>
      </c>
      <c r="I21" s="20">
        <v>108.6</v>
      </c>
      <c r="J21" s="4">
        <f>HLOOKUP($C21,'Параметры ПФ'!$F$8:$K$13,6,FALSE)</f>
        <v>57.67</v>
      </c>
      <c r="K21" s="4">
        <f t="shared" si="4"/>
        <v>4613.6000000000004</v>
      </c>
      <c r="L21" s="5">
        <f>IF(K21&lt;'Параметры ПФ'!J$3+0.01,'Стандартные программы'!K21,ROUNDDOWN('Параметры ПФ'!J$3/IF(I21=0,J21,IF(J21&gt;I21,I21,J21)),0)*IF(I21=0,J21,IF(J21&gt;I21,I21,J21)))</f>
        <v>4613.6000000000004</v>
      </c>
      <c r="M21" s="4">
        <f t="shared" si="5"/>
        <v>73817.600000000006</v>
      </c>
      <c r="N21" s="30">
        <f>IF(K21&lt;'Параметры ПФ'!J$3+0.01,E21*F21*G21,ROUNDDOWN('Параметры ПФ'!J$3/IF(I21=0,J21,IF(J21&gt;I21,I21,J21)),0)*G21)</f>
        <v>1280</v>
      </c>
      <c r="O21" s="25"/>
    </row>
    <row r="22" spans="1:15" x14ac:dyDescent="0.3">
      <c r="A22" s="94" t="s">
        <v>82</v>
      </c>
      <c r="B22" s="96" t="s">
        <v>101</v>
      </c>
      <c r="C22" s="120" t="s">
        <v>5</v>
      </c>
      <c r="D22" s="102">
        <v>36</v>
      </c>
      <c r="E22" s="102">
        <v>16</v>
      </c>
      <c r="F22" s="103">
        <v>4</v>
      </c>
      <c r="G22" s="103">
        <v>18</v>
      </c>
      <c r="H22" s="97">
        <f t="shared" si="1"/>
        <v>64</v>
      </c>
      <c r="I22" s="20">
        <v>108.6</v>
      </c>
      <c r="J22" s="4">
        <f>HLOOKUP($C22,'Параметры ПФ'!$F$8:$K$13,6,FALSE)</f>
        <v>57.67</v>
      </c>
      <c r="K22" s="4">
        <f t="shared" si="4"/>
        <v>3690.88</v>
      </c>
      <c r="L22" s="5">
        <f>IF(K22&lt;'Параметры ПФ'!J$3+0.01,'Стандартные программы'!K22,ROUNDDOWN('Параметры ПФ'!J$3/IF(I22=0,J22,IF(J22&gt;I22,I22,J22)),0)*IF(I22=0,J22,IF(J22&gt;I22,I22,J22)))</f>
        <v>3690.88</v>
      </c>
      <c r="M22" s="4">
        <f t="shared" si="5"/>
        <v>66435.839999999997</v>
      </c>
      <c r="N22" s="30">
        <f>IF(K22&lt;'Параметры ПФ'!J$3+0.01,E22*F22*G22,ROUNDDOWN('Параметры ПФ'!J$3/IF(I22=0,J22,IF(J22&gt;I22,I22,J22)),0)*G22)</f>
        <v>1152</v>
      </c>
      <c r="O22" s="25"/>
    </row>
    <row r="23" spans="1:15" x14ac:dyDescent="0.3">
      <c r="A23" s="94" t="s">
        <v>82</v>
      </c>
      <c r="B23" s="3" t="s">
        <v>102</v>
      </c>
      <c r="C23" s="121" t="s">
        <v>5</v>
      </c>
      <c r="D23" s="18">
        <v>36</v>
      </c>
      <c r="E23" s="18">
        <v>20</v>
      </c>
      <c r="F23" s="19">
        <v>4</v>
      </c>
      <c r="G23" s="19">
        <v>32</v>
      </c>
      <c r="H23" s="97">
        <f t="shared" si="1"/>
        <v>80</v>
      </c>
      <c r="I23" s="20">
        <v>108.6</v>
      </c>
      <c r="J23" s="4">
        <f>HLOOKUP($C23,'Параметры ПФ'!$F$8:$K$13,6,FALSE)</f>
        <v>57.67</v>
      </c>
      <c r="K23" s="4">
        <f t="shared" si="4"/>
        <v>4613.6000000000004</v>
      </c>
      <c r="L23" s="5">
        <f>IF(K23&lt;'Параметры ПФ'!J$3+0.01,'Стандартные программы'!K23,ROUNDDOWN('Параметры ПФ'!J$3/IF(I23=0,J23,IF(J23&gt;I23,I23,J23)),0)*IF(I23=0,J23,IF(J23&gt;I23,I23,J23)))</f>
        <v>4613.6000000000004</v>
      </c>
      <c r="M23" s="4">
        <f t="shared" si="5"/>
        <v>147635.20000000001</v>
      </c>
      <c r="N23" s="30">
        <f>IF(K23&lt;'Параметры ПФ'!J$3+0.01,E23*F23*G23,ROUNDDOWN('Параметры ПФ'!J$3/IF(I23=0,J23,IF(J23&gt;I23,I23,J23)),0)*G23)</f>
        <v>2560</v>
      </c>
      <c r="O23" s="25"/>
    </row>
    <row r="24" spans="1:15" x14ac:dyDescent="0.3">
      <c r="A24" s="94" t="s">
        <v>82</v>
      </c>
      <c r="B24" s="3" t="s">
        <v>103</v>
      </c>
      <c r="C24" s="121" t="s">
        <v>5</v>
      </c>
      <c r="D24" s="18">
        <v>36</v>
      </c>
      <c r="E24" s="18">
        <v>16</v>
      </c>
      <c r="F24" s="19">
        <v>4</v>
      </c>
      <c r="G24" s="19">
        <v>40</v>
      </c>
      <c r="H24" s="97">
        <f t="shared" si="1"/>
        <v>64</v>
      </c>
      <c r="I24" s="20">
        <v>108.6</v>
      </c>
      <c r="J24" s="4">
        <f>HLOOKUP($C24,'Параметры ПФ'!$F$8:$K$13,6,FALSE)</f>
        <v>57.67</v>
      </c>
      <c r="K24" s="4">
        <f t="shared" si="4"/>
        <v>3690.88</v>
      </c>
      <c r="L24" s="5">
        <f>IF(K24&lt;'Параметры ПФ'!J$3+0.01,'Стандартные программы'!K24,ROUNDDOWN('Параметры ПФ'!J$3/IF(I24=0,J24,IF(J24&gt;I24,I24,J24)),0)*IF(I24=0,J24,IF(J24&gt;I24,I24,J24)))</f>
        <v>3690.88</v>
      </c>
      <c r="M24" s="4">
        <f t="shared" si="5"/>
        <v>147635.20000000001</v>
      </c>
      <c r="N24" s="30">
        <f>IF(K24&lt;'Параметры ПФ'!J$3+0.01,E24*F24*G24,ROUNDDOWN('Параметры ПФ'!J$3/IF(I24=0,J24,IF(J24&gt;I24,I24,J24)),0)*G24)</f>
        <v>2560</v>
      </c>
      <c r="O24" s="25"/>
    </row>
    <row r="25" spans="1:15" x14ac:dyDescent="0.3">
      <c r="A25" s="94" t="s">
        <v>82</v>
      </c>
      <c r="B25" s="96" t="s">
        <v>104</v>
      </c>
      <c r="C25" s="120" t="s">
        <v>5</v>
      </c>
      <c r="D25" s="102">
        <v>36</v>
      </c>
      <c r="E25" s="102">
        <v>20</v>
      </c>
      <c r="F25" s="103">
        <v>2</v>
      </c>
      <c r="G25" s="103">
        <v>15</v>
      </c>
      <c r="H25" s="97">
        <f t="shared" si="1"/>
        <v>40</v>
      </c>
      <c r="I25" s="20">
        <v>108.6</v>
      </c>
      <c r="J25" s="4">
        <f>HLOOKUP($C25,'Параметры ПФ'!$F$8:$K$13,6,FALSE)</f>
        <v>57.67</v>
      </c>
      <c r="K25" s="4">
        <f t="shared" si="4"/>
        <v>2306.8000000000002</v>
      </c>
      <c r="L25" s="5">
        <f>IF(K25&lt;'Параметры ПФ'!J$3+0.01,'Стандартные программы'!K25,ROUNDDOWN('Параметры ПФ'!J$3/IF(I25=0,J25,IF(J25&gt;I25,I25,J25)),0)*IF(I25=0,J25,IF(J25&gt;I25,I25,J25)))</f>
        <v>2306.8000000000002</v>
      </c>
      <c r="M25" s="4">
        <f t="shared" si="5"/>
        <v>34602</v>
      </c>
      <c r="N25" s="30">
        <f>IF(K25&lt;'Параметры ПФ'!J$3+0.01,E25*F25*G25,ROUNDDOWN('Параметры ПФ'!J$3/IF(I25=0,J25,IF(J25&gt;I25,I25,J25)),0)*G25)</f>
        <v>600</v>
      </c>
      <c r="O25" s="25"/>
    </row>
    <row r="26" spans="1:15" x14ac:dyDescent="0.3">
      <c r="A26" s="94" t="s">
        <v>82</v>
      </c>
      <c r="B26" s="96" t="s">
        <v>105</v>
      </c>
      <c r="C26" s="120" t="s">
        <v>5</v>
      </c>
      <c r="D26" s="102">
        <v>36</v>
      </c>
      <c r="E26" s="102">
        <v>16</v>
      </c>
      <c r="F26" s="103">
        <v>4</v>
      </c>
      <c r="G26" s="103">
        <v>18</v>
      </c>
      <c r="H26" s="97">
        <f t="shared" si="1"/>
        <v>64</v>
      </c>
      <c r="I26" s="20">
        <v>108.6</v>
      </c>
      <c r="J26" s="4">
        <f>HLOOKUP($C26,'Параметры ПФ'!$F$8:$K$13,6,FALSE)</f>
        <v>57.67</v>
      </c>
      <c r="K26" s="4">
        <f t="shared" si="4"/>
        <v>3690.88</v>
      </c>
      <c r="L26" s="5">
        <f>IF(K26&lt;'Параметры ПФ'!J$3+0.01,'Стандартные программы'!K26,ROUNDDOWN('Параметры ПФ'!J$3/IF(I26=0,J26,IF(J26&gt;I26,I26,J26)),0)*IF(I26=0,J26,IF(J26&gt;I26,I26,J26)))</f>
        <v>3690.88</v>
      </c>
      <c r="M26" s="4">
        <f t="shared" si="5"/>
        <v>66435.839999999997</v>
      </c>
      <c r="N26" s="30">
        <f>IF(K26&lt;'Параметры ПФ'!J$3+0.01,E26*F26*G26,ROUNDDOWN('Параметры ПФ'!J$3/IF(I26=0,J26,IF(J26&gt;I26,I26,J26)),0)*G26)</f>
        <v>1152</v>
      </c>
      <c r="O26" s="25"/>
    </row>
    <row r="27" spans="1:15" x14ac:dyDescent="0.3">
      <c r="A27" s="94" t="s">
        <v>82</v>
      </c>
      <c r="B27" s="3" t="s">
        <v>105</v>
      </c>
      <c r="C27" s="121" t="s">
        <v>5</v>
      </c>
      <c r="D27" s="18">
        <v>36</v>
      </c>
      <c r="E27" s="18">
        <v>20</v>
      </c>
      <c r="F27" s="19">
        <v>2</v>
      </c>
      <c r="G27" s="19">
        <v>14</v>
      </c>
      <c r="H27" s="97">
        <f t="shared" si="1"/>
        <v>40</v>
      </c>
      <c r="I27" s="20">
        <v>108.6</v>
      </c>
      <c r="J27" s="4">
        <f>HLOOKUP($C27,'Параметры ПФ'!$F$8:$K$13,6,FALSE)</f>
        <v>57.67</v>
      </c>
      <c r="K27" s="4">
        <f t="shared" si="4"/>
        <v>2306.8000000000002</v>
      </c>
      <c r="L27" s="5">
        <f>IF(K27&lt;'Параметры ПФ'!J$3+0.01,'Стандартные программы'!K27,ROUNDDOWN('Параметры ПФ'!J$3/IF(I27=0,J27,IF(J27&gt;I27,I27,J27)),0)*IF(I27=0,J27,IF(J27&gt;I27,I27,J27)))</f>
        <v>2306.8000000000002</v>
      </c>
      <c r="M27" s="4">
        <f t="shared" si="5"/>
        <v>32295.200000000001</v>
      </c>
      <c r="N27" s="30">
        <f>IF(K27&lt;'Параметры ПФ'!J$3+0.01,E27*F27*G27,ROUNDDOWN('Параметры ПФ'!J$3/IF(I27=0,J27,IF(J27&gt;I27,I27,J27)),0)*G27)</f>
        <v>560</v>
      </c>
      <c r="O27" s="25"/>
    </row>
    <row r="28" spans="1:15" x14ac:dyDescent="0.3">
      <c r="A28" s="94" t="s">
        <v>82</v>
      </c>
      <c r="B28" s="3" t="s">
        <v>106</v>
      </c>
      <c r="C28" s="121" t="s">
        <v>5</v>
      </c>
      <c r="D28" s="18">
        <v>36</v>
      </c>
      <c r="E28" s="18">
        <v>16</v>
      </c>
      <c r="F28" s="19">
        <v>4</v>
      </c>
      <c r="G28" s="19">
        <v>18</v>
      </c>
      <c r="H28" s="97">
        <f t="shared" si="1"/>
        <v>64</v>
      </c>
      <c r="I28" s="20">
        <v>108.6</v>
      </c>
      <c r="J28" s="4">
        <f>HLOOKUP($C28,'Параметры ПФ'!$F$8:$K$13,6,FALSE)</f>
        <v>57.67</v>
      </c>
      <c r="K28" s="4">
        <f t="shared" si="4"/>
        <v>3690.88</v>
      </c>
      <c r="L28" s="5">
        <f>IF(K28&lt;'Параметры ПФ'!J$3+0.01,'Стандартные программы'!K28,ROUNDDOWN('Параметры ПФ'!J$3/IF(I28=0,J28,IF(J28&gt;I28,I28,J28)),0)*IF(I28=0,J28,IF(J28&gt;I28,I28,J28)))</f>
        <v>3690.88</v>
      </c>
      <c r="M28" s="4">
        <f t="shared" si="5"/>
        <v>66435.839999999997</v>
      </c>
      <c r="N28" s="30">
        <f>IF(K28&lt;'Параметры ПФ'!J$3+0.01,E28*F28*G28,ROUNDDOWN('Параметры ПФ'!J$3/IF(I28=0,J28,IF(J28&gt;I28,I28,J28)),0)*G28)</f>
        <v>1152</v>
      </c>
      <c r="O28" s="25"/>
    </row>
    <row r="29" spans="1:15" x14ac:dyDescent="0.3">
      <c r="A29" s="94" t="s">
        <v>82</v>
      </c>
      <c r="B29" s="3" t="s">
        <v>107</v>
      </c>
      <c r="C29" s="121" t="s">
        <v>5</v>
      </c>
      <c r="D29" s="18">
        <v>36</v>
      </c>
      <c r="E29" s="18">
        <v>16</v>
      </c>
      <c r="F29" s="19">
        <v>4</v>
      </c>
      <c r="G29" s="19">
        <v>32</v>
      </c>
      <c r="H29" s="97">
        <f t="shared" si="1"/>
        <v>64</v>
      </c>
      <c r="I29" s="20">
        <v>108.6</v>
      </c>
      <c r="J29" s="4">
        <f>HLOOKUP($C29,'Параметры ПФ'!$F$8:$K$13,6,FALSE)</f>
        <v>57.67</v>
      </c>
      <c r="K29" s="4">
        <f t="shared" si="4"/>
        <v>3690.88</v>
      </c>
      <c r="L29" s="5">
        <f>IF(K29&lt;'Параметры ПФ'!J$3+0.01,'Стандартные программы'!K29,ROUNDDOWN('Параметры ПФ'!J$3/IF(I29=0,J29,IF(J29&gt;I29,I29,J29)),0)*IF(I29=0,J29,IF(J29&gt;I29,I29,J29)))</f>
        <v>3690.88</v>
      </c>
      <c r="M29" s="4">
        <f t="shared" si="5"/>
        <v>118108.16</v>
      </c>
      <c r="N29" s="30">
        <f>IF(K29&lt;'Параметры ПФ'!J$3+0.01,E29*F29*G29,ROUNDDOWN('Параметры ПФ'!J$3/IF(I29=0,J29,IF(J29&gt;I29,I29,J29)),0)*G29)</f>
        <v>2048</v>
      </c>
      <c r="O29" s="25"/>
    </row>
    <row r="30" spans="1:15" x14ac:dyDescent="0.3">
      <c r="A30" s="94" t="s">
        <v>82</v>
      </c>
      <c r="B30" s="96" t="s">
        <v>108</v>
      </c>
      <c r="C30" s="120" t="s">
        <v>5</v>
      </c>
      <c r="D30" s="102">
        <v>36</v>
      </c>
      <c r="E30" s="102">
        <v>20</v>
      </c>
      <c r="F30" s="103">
        <v>4</v>
      </c>
      <c r="G30" s="103">
        <v>15</v>
      </c>
      <c r="H30" s="97">
        <f t="shared" si="1"/>
        <v>80</v>
      </c>
      <c r="I30" s="20">
        <v>108.6</v>
      </c>
      <c r="J30" s="4">
        <f>HLOOKUP($C30,'Параметры ПФ'!$F$8:$K$13,6,FALSE)</f>
        <v>57.67</v>
      </c>
      <c r="K30" s="4">
        <f t="shared" si="4"/>
        <v>4613.6000000000004</v>
      </c>
      <c r="L30" s="5">
        <f>IF(K30&lt;'Параметры ПФ'!J$3+0.01,'Стандартные программы'!K30,ROUNDDOWN('Параметры ПФ'!J$3/IF(I30=0,J30,IF(J30&gt;I30,I30,J30)),0)*IF(I30=0,J30,IF(J30&gt;I30,I30,J30)))</f>
        <v>4613.6000000000004</v>
      </c>
      <c r="M30" s="4">
        <f t="shared" si="5"/>
        <v>69204</v>
      </c>
      <c r="N30" s="30">
        <f>IF(K30&lt;'Параметры ПФ'!J$3+0.01,E30*F30*G30,ROUNDDOWN('Параметры ПФ'!J$3/IF(I30=0,J30,IF(J30&gt;I30,I30,J30)),0)*G30)</f>
        <v>1200</v>
      </c>
      <c r="O30" s="25"/>
    </row>
    <row r="31" spans="1:15" x14ac:dyDescent="0.3">
      <c r="A31" s="94" t="s">
        <v>82</v>
      </c>
      <c r="B31" s="96" t="s">
        <v>108</v>
      </c>
      <c r="C31" s="120" t="s">
        <v>5</v>
      </c>
      <c r="D31" s="102">
        <v>36</v>
      </c>
      <c r="E31" s="102">
        <v>16</v>
      </c>
      <c r="F31" s="103">
        <v>4</v>
      </c>
      <c r="G31" s="103">
        <v>16</v>
      </c>
      <c r="H31" s="97">
        <f t="shared" si="1"/>
        <v>64</v>
      </c>
      <c r="I31" s="20">
        <v>108.6</v>
      </c>
      <c r="J31" s="4">
        <f>HLOOKUP($C31,'Параметры ПФ'!$F$8:$K$13,6,FALSE)</f>
        <v>57.67</v>
      </c>
      <c r="K31" s="4">
        <f t="shared" si="4"/>
        <v>3690.88</v>
      </c>
      <c r="L31" s="5">
        <f>IF(K31&lt;'Параметры ПФ'!J$3+0.01,'Стандартные программы'!K31,ROUNDDOWN('Параметры ПФ'!J$3/IF(I31=0,J31,IF(J31&gt;I31,I31,J31)),0)*IF(I31=0,J31,IF(J31&gt;I31,I31,J31)))</f>
        <v>3690.88</v>
      </c>
      <c r="M31" s="4">
        <f t="shared" si="5"/>
        <v>59054.080000000002</v>
      </c>
      <c r="N31" s="30">
        <f>IF(K31&lt;'Параметры ПФ'!J$3+0.01,E31*F31*G31,ROUNDDOWN('Параметры ПФ'!J$3/IF(I31=0,J31,IF(J31&gt;I31,I31,J31)),0)*G31)</f>
        <v>1024</v>
      </c>
      <c r="O31" s="25"/>
    </row>
    <row r="32" spans="1:15" x14ac:dyDescent="0.3">
      <c r="A32" s="94" t="s">
        <v>82</v>
      </c>
      <c r="B32" s="104" t="s">
        <v>109</v>
      </c>
      <c r="C32" s="122" t="s">
        <v>5</v>
      </c>
      <c r="D32" s="105">
        <v>36</v>
      </c>
      <c r="E32" s="105">
        <v>20</v>
      </c>
      <c r="F32" s="106">
        <v>2</v>
      </c>
      <c r="G32" s="106">
        <v>15</v>
      </c>
      <c r="H32" s="97">
        <f t="shared" si="1"/>
        <v>40</v>
      </c>
      <c r="I32" s="20">
        <v>108.6</v>
      </c>
      <c r="J32" s="4">
        <f>HLOOKUP($C32,'Параметры ПФ'!$F$8:$K$13,6,FALSE)</f>
        <v>57.67</v>
      </c>
      <c r="K32" s="4">
        <f t="shared" si="4"/>
        <v>2306.8000000000002</v>
      </c>
      <c r="L32" s="5">
        <f>IF(K32&lt;'Параметры ПФ'!J$3+0.01,'Стандартные программы'!K32,ROUNDDOWN('Параметры ПФ'!J$3/IF(I32=0,J32,IF(J32&gt;I32,I32,J32)),0)*IF(I32=0,J32,IF(J32&gt;I32,I32,J32)))</f>
        <v>2306.8000000000002</v>
      </c>
      <c r="M32" s="4">
        <f t="shared" si="5"/>
        <v>34602</v>
      </c>
      <c r="N32" s="30">
        <f>IF(K32&lt;'Параметры ПФ'!J$3+0.01,E32*F32*G32,ROUNDDOWN('Параметры ПФ'!J$3/IF(I32=0,J32,IF(J32&gt;I32,I32,J32)),0)*G32)</f>
        <v>600</v>
      </c>
      <c r="O32" s="25"/>
    </row>
    <row r="33" spans="1:15" x14ac:dyDescent="0.3">
      <c r="A33" s="94" t="s">
        <v>82</v>
      </c>
      <c r="B33" s="3" t="s">
        <v>110</v>
      </c>
      <c r="C33" s="121" t="s">
        <v>5</v>
      </c>
      <c r="D33" s="18">
        <v>36</v>
      </c>
      <c r="E33" s="18">
        <v>16</v>
      </c>
      <c r="F33" s="19">
        <v>2</v>
      </c>
      <c r="G33" s="19">
        <v>15</v>
      </c>
      <c r="H33" s="97">
        <f t="shared" si="1"/>
        <v>32</v>
      </c>
      <c r="I33" s="20">
        <v>108.6</v>
      </c>
      <c r="J33" s="4">
        <f>HLOOKUP($C33,'Параметры ПФ'!$F$8:$K$13,6,FALSE)</f>
        <v>57.67</v>
      </c>
      <c r="K33" s="4">
        <f t="shared" si="4"/>
        <v>1845.44</v>
      </c>
      <c r="L33" s="5">
        <f>IF(K33&lt;'Параметры ПФ'!J$3+0.01,'Стандартные программы'!K33,ROUNDDOWN('Параметры ПФ'!J$3/IF(I33=0,J33,IF(J33&gt;I33,I33,J33)),0)*IF(I33=0,J33,IF(J33&gt;I33,I33,J33)))</f>
        <v>1845.44</v>
      </c>
      <c r="M33" s="4">
        <f t="shared" si="5"/>
        <v>27681.599999999999</v>
      </c>
      <c r="N33" s="30">
        <f>IF(K33&lt;'Параметры ПФ'!J$3+0.01,E33*F33*G33,ROUNDDOWN('Параметры ПФ'!J$3/IF(I33=0,J33,IF(J33&gt;I33,I33,J33)),0)*G33)</f>
        <v>480</v>
      </c>
      <c r="O33" s="25"/>
    </row>
    <row r="34" spans="1:15" x14ac:dyDescent="0.3">
      <c r="A34" s="94" t="s">
        <v>82</v>
      </c>
      <c r="B34" s="3" t="s">
        <v>111</v>
      </c>
      <c r="C34" s="121" t="s">
        <v>5</v>
      </c>
      <c r="D34" s="18">
        <v>36</v>
      </c>
      <c r="E34" s="18">
        <v>16</v>
      </c>
      <c r="F34" s="19">
        <v>4</v>
      </c>
      <c r="G34" s="19">
        <v>24</v>
      </c>
      <c r="H34" s="97">
        <f t="shared" si="1"/>
        <v>64</v>
      </c>
      <c r="I34" s="20">
        <v>108.6</v>
      </c>
      <c r="J34" s="4">
        <f>HLOOKUP($C34,'Параметры ПФ'!$F$8:$K$13,6,FALSE)</f>
        <v>57.67</v>
      </c>
      <c r="K34" s="4">
        <f t="shared" si="4"/>
        <v>3690.88</v>
      </c>
      <c r="L34" s="5">
        <f>IF(K34&lt;'Параметры ПФ'!J$3+0.01,'Стандартные программы'!K34,ROUNDDOWN('Параметры ПФ'!J$3/IF(I34=0,J34,IF(J34&gt;I34,I34,J34)),0)*IF(I34=0,J34,IF(J34&gt;I34,I34,J34)))</f>
        <v>3690.88</v>
      </c>
      <c r="M34" s="4">
        <f t="shared" si="5"/>
        <v>88581.119999999995</v>
      </c>
      <c r="N34" s="30">
        <f>IF(K34&lt;'Параметры ПФ'!J$3+0.01,E34*F34*G34,ROUNDDOWN('Параметры ПФ'!J$3/IF(I34=0,J34,IF(J34&gt;I34,I34,J34)),0)*G34)</f>
        <v>1536</v>
      </c>
      <c r="O34" s="25"/>
    </row>
    <row r="35" spans="1:15" x14ac:dyDescent="0.3">
      <c r="A35" s="94" t="s">
        <v>82</v>
      </c>
      <c r="B35" s="96" t="s">
        <v>112</v>
      </c>
      <c r="C35" s="120" t="s">
        <v>5</v>
      </c>
      <c r="D35" s="102">
        <v>36</v>
      </c>
      <c r="E35" s="102">
        <v>20</v>
      </c>
      <c r="F35" s="103">
        <v>4</v>
      </c>
      <c r="G35" s="103">
        <v>18</v>
      </c>
      <c r="H35" s="97">
        <f t="shared" si="1"/>
        <v>80</v>
      </c>
      <c r="I35" s="20">
        <v>108.6</v>
      </c>
      <c r="J35" s="4">
        <f>HLOOKUP($C35,'Параметры ПФ'!$F$8:$K$13,6,FALSE)</f>
        <v>57.67</v>
      </c>
      <c r="K35" s="4">
        <f t="shared" si="4"/>
        <v>4613.6000000000004</v>
      </c>
      <c r="L35" s="5">
        <f>IF(K35&lt;'Параметры ПФ'!J$3+0.01,'Стандартные программы'!K35,ROUNDDOWN('Параметры ПФ'!J$3/IF(I35=0,J35,IF(J35&gt;I35,I35,J35)),0)*IF(I35=0,J35,IF(J35&gt;I35,I35,J35)))</f>
        <v>4613.6000000000004</v>
      </c>
      <c r="M35" s="4">
        <f t="shared" si="5"/>
        <v>83044.800000000003</v>
      </c>
      <c r="N35" s="30">
        <f>IF(K35&lt;'Параметры ПФ'!J$3+0.01,E35*F35*G35,ROUNDDOWN('Параметры ПФ'!J$3/IF(I35=0,J35,IF(J35&gt;I35,I35,J35)),0)*G35)</f>
        <v>1440</v>
      </c>
      <c r="O35" s="25"/>
    </row>
    <row r="36" spans="1:15" x14ac:dyDescent="0.3">
      <c r="A36" s="94" t="s">
        <v>82</v>
      </c>
      <c r="B36" s="96" t="s">
        <v>112</v>
      </c>
      <c r="C36" s="120" t="s">
        <v>5</v>
      </c>
      <c r="D36" s="102">
        <v>36</v>
      </c>
      <c r="E36" s="102">
        <v>16</v>
      </c>
      <c r="F36" s="103">
        <v>4</v>
      </c>
      <c r="G36" s="103">
        <v>18</v>
      </c>
      <c r="H36" s="97">
        <f t="shared" si="1"/>
        <v>64</v>
      </c>
      <c r="I36" s="20">
        <v>108.6</v>
      </c>
      <c r="J36" s="4">
        <f>HLOOKUP($C36,'Параметры ПФ'!$F$8:$K$13,6,FALSE)</f>
        <v>57.67</v>
      </c>
      <c r="K36" s="4">
        <f t="shared" si="4"/>
        <v>3690.88</v>
      </c>
      <c r="L36" s="5">
        <f>IF(K36&lt;'Параметры ПФ'!J$3+0.01,'Стандартные программы'!K36,ROUNDDOWN('Параметры ПФ'!J$3/IF(I36=0,J36,IF(J36&gt;I36,I36,J36)),0)*IF(I36=0,J36,IF(J36&gt;I36,I36,J36)))</f>
        <v>3690.88</v>
      </c>
      <c r="M36" s="4">
        <f t="shared" si="5"/>
        <v>66435.839999999997</v>
      </c>
      <c r="N36" s="30">
        <f>IF(K36&lt;'Параметры ПФ'!J$3+0.01,E36*F36*G36,ROUNDDOWN('Параметры ПФ'!J$3/IF(I36=0,J36,IF(J36&gt;I36,I36,J36)),0)*G36)</f>
        <v>1152</v>
      </c>
      <c r="O36" s="25"/>
    </row>
    <row r="37" spans="1:15" x14ac:dyDescent="0.3">
      <c r="A37" s="94" t="s">
        <v>82</v>
      </c>
      <c r="B37" s="3" t="s">
        <v>113</v>
      </c>
      <c r="C37" s="121" t="s">
        <v>5</v>
      </c>
      <c r="D37" s="18">
        <v>36</v>
      </c>
      <c r="E37" s="18">
        <v>20</v>
      </c>
      <c r="F37" s="19">
        <v>4</v>
      </c>
      <c r="G37" s="19">
        <v>26</v>
      </c>
      <c r="H37" s="97">
        <f t="shared" si="1"/>
        <v>80</v>
      </c>
      <c r="I37" s="20">
        <v>108.6</v>
      </c>
      <c r="J37" s="4">
        <f>HLOOKUP($C37,'Параметры ПФ'!$F$8:$K$13,6,FALSE)</f>
        <v>57.67</v>
      </c>
      <c r="K37" s="4">
        <f t="shared" si="4"/>
        <v>4613.6000000000004</v>
      </c>
      <c r="L37" s="5">
        <f>IF(K37&lt;'Параметры ПФ'!J$3+0.01,'Стандартные программы'!K37,ROUNDDOWN('Параметры ПФ'!J$3/IF(I37=0,J37,IF(J37&gt;I37,I37,J37)),0)*IF(I37=0,J37,IF(J37&gt;I37,I37,J37)))</f>
        <v>4613.6000000000004</v>
      </c>
      <c r="M37" s="4">
        <f t="shared" si="5"/>
        <v>119953.60000000001</v>
      </c>
      <c r="N37" s="30">
        <f>IF(K37&lt;'Параметры ПФ'!J$3+0.01,E37*F37*G37,ROUNDDOWN('Параметры ПФ'!J$3/IF(I37=0,J37,IF(J37&gt;I37,I37,J37)),0)*G37)</f>
        <v>2080</v>
      </c>
      <c r="O37" s="25"/>
    </row>
    <row r="38" spans="1:15" x14ac:dyDescent="0.3">
      <c r="A38" s="94" t="s">
        <v>82</v>
      </c>
      <c r="B38" s="3" t="s">
        <v>113</v>
      </c>
      <c r="C38" s="121" t="s">
        <v>5</v>
      </c>
      <c r="D38" s="18">
        <v>36</v>
      </c>
      <c r="E38" s="18">
        <v>16</v>
      </c>
      <c r="F38" s="19">
        <v>4</v>
      </c>
      <c r="G38" s="19">
        <v>32</v>
      </c>
      <c r="H38" s="97">
        <f t="shared" si="1"/>
        <v>64</v>
      </c>
      <c r="I38" s="20">
        <v>108.6</v>
      </c>
      <c r="J38" s="4">
        <f>HLOOKUP($C38,'Параметры ПФ'!$F$8:$K$13,6,FALSE)</f>
        <v>57.67</v>
      </c>
      <c r="K38" s="4">
        <f t="shared" si="4"/>
        <v>3690.88</v>
      </c>
      <c r="L38" s="5">
        <f>IF(K38&lt;'Параметры ПФ'!J$3+0.01,'Стандартные программы'!K38,ROUNDDOWN('Параметры ПФ'!J$3/IF(I38=0,J38,IF(J38&gt;I38,I38,J38)),0)*IF(I38=0,J38,IF(J38&gt;I38,I38,J38)))</f>
        <v>3690.88</v>
      </c>
      <c r="M38" s="4">
        <f t="shared" si="5"/>
        <v>118108.16</v>
      </c>
      <c r="N38" s="30">
        <f>IF(K38&lt;'Параметры ПФ'!J$3+0.01,E38*F38*G38,ROUNDDOWN('Параметры ПФ'!J$3/IF(I38=0,J38,IF(J38&gt;I38,I38,J38)),0)*G38)</f>
        <v>2048</v>
      </c>
      <c r="O38" s="25"/>
    </row>
    <row r="39" spans="1:15" x14ac:dyDescent="0.3">
      <c r="A39" s="94" t="s">
        <v>82</v>
      </c>
      <c r="B39" s="96" t="s">
        <v>114</v>
      </c>
      <c r="C39" s="120" t="s">
        <v>5</v>
      </c>
      <c r="D39" s="102">
        <v>36</v>
      </c>
      <c r="E39" s="102">
        <v>20</v>
      </c>
      <c r="F39" s="103">
        <v>4</v>
      </c>
      <c r="G39" s="103">
        <v>20</v>
      </c>
      <c r="H39" s="97">
        <v>39</v>
      </c>
      <c r="I39" s="20">
        <v>108.6</v>
      </c>
      <c r="J39" s="4">
        <f>HLOOKUP($C39,'Параметры ПФ'!$F$8:$K$13,6,FALSE)</f>
        <v>57.67</v>
      </c>
      <c r="K39" s="4">
        <f t="shared" si="4"/>
        <v>4613.6000000000004</v>
      </c>
      <c r="L39" s="5">
        <f>IF(K39&lt;'Параметры ПФ'!J$3+0.01,'Стандартные программы'!K39,ROUNDDOWN('Параметры ПФ'!J$3/IF(I39=0,J39,IF(J39&gt;I39,I39,J39)),0)*IF(I39=0,J39,IF(J39&gt;I39,I39,J39)))</f>
        <v>4613.6000000000004</v>
      </c>
      <c r="M39" s="4">
        <f t="shared" si="5"/>
        <v>92272</v>
      </c>
      <c r="N39" s="30">
        <f>IF(K39&lt;'Параметры ПФ'!J$3+0.01,E39*F39*G39,ROUNDDOWN('Параметры ПФ'!J$3/IF(I39=0,J39,IF(J39&gt;I39,I39,J39)),0)*G39)</f>
        <v>1600</v>
      </c>
      <c r="O39" s="25"/>
    </row>
    <row r="40" spans="1:15" x14ac:dyDescent="0.3">
      <c r="A40" s="94" t="s">
        <v>82</v>
      </c>
      <c r="B40" s="96" t="s">
        <v>115</v>
      </c>
      <c r="C40" s="120" t="s">
        <v>5</v>
      </c>
      <c r="D40" s="102">
        <v>36</v>
      </c>
      <c r="E40" s="102">
        <v>16</v>
      </c>
      <c r="F40" s="103">
        <v>4</v>
      </c>
      <c r="G40" s="103">
        <v>20</v>
      </c>
      <c r="H40" s="97">
        <f t="shared" si="1"/>
        <v>64</v>
      </c>
      <c r="I40" s="20">
        <v>108.6</v>
      </c>
      <c r="J40" s="4">
        <f>HLOOKUP($C40,'Параметры ПФ'!$F$8:$K$13,6,FALSE)</f>
        <v>57.67</v>
      </c>
      <c r="K40" s="4">
        <f t="shared" si="4"/>
        <v>3690.88</v>
      </c>
      <c r="L40" s="5">
        <f>IF(K40&lt;'Параметры ПФ'!J$3+0.01,'Стандартные программы'!K40,ROUNDDOWN('Параметры ПФ'!J$3/IF(I40=0,J40,IF(J40&gt;I40,I40,J40)),0)*IF(I40=0,J40,IF(J40&gt;I40,I40,J40)))</f>
        <v>3690.88</v>
      </c>
      <c r="M40" s="4">
        <f t="shared" si="5"/>
        <v>73817.600000000006</v>
      </c>
      <c r="N40" s="30">
        <f>IF(K40&lt;'Параметры ПФ'!J$3+0.01,E40*F40*G40,ROUNDDOWN('Параметры ПФ'!J$3/IF(I40=0,J40,IF(J40&gt;I40,I40,J40)),0)*G40)</f>
        <v>1280</v>
      </c>
      <c r="O40" s="25"/>
    </row>
    <row r="41" spans="1:15" x14ac:dyDescent="0.3">
      <c r="A41" s="94" t="s">
        <v>82</v>
      </c>
      <c r="B41" s="3" t="s">
        <v>116</v>
      </c>
      <c r="C41" s="121" t="s">
        <v>5</v>
      </c>
      <c r="D41" s="18">
        <v>36</v>
      </c>
      <c r="E41" s="18">
        <v>20</v>
      </c>
      <c r="F41" s="19">
        <v>4</v>
      </c>
      <c r="G41" s="19">
        <v>16</v>
      </c>
      <c r="H41" s="97">
        <f t="shared" si="1"/>
        <v>80</v>
      </c>
      <c r="I41" s="20">
        <v>108.6</v>
      </c>
      <c r="J41" s="4">
        <f>HLOOKUP($C41,'Параметры ПФ'!$F$8:$K$13,6,FALSE)</f>
        <v>57.67</v>
      </c>
      <c r="K41" s="4">
        <f t="shared" si="4"/>
        <v>4613.6000000000004</v>
      </c>
      <c r="L41" s="5">
        <f>IF(K41&lt;'Параметры ПФ'!J$3+0.01,'Стандартные программы'!K41,ROUNDDOWN('Параметры ПФ'!J$3/IF(I41=0,J41,IF(J41&gt;I41,I41,J41)),0)*IF(I41=0,J41,IF(J41&gt;I41,I41,J41)))</f>
        <v>4613.6000000000004</v>
      </c>
      <c r="M41" s="4">
        <f t="shared" si="5"/>
        <v>73817.600000000006</v>
      </c>
      <c r="N41" s="30">
        <f>IF(K41&lt;'Параметры ПФ'!J$3+0.01,E41*F41*G41,ROUNDDOWN('Параметры ПФ'!J$3/IF(I41=0,J41,IF(J41&gt;I41,I41,J41)),0)*G41)</f>
        <v>1280</v>
      </c>
      <c r="O41" s="25"/>
    </row>
    <row r="42" spans="1:15" x14ac:dyDescent="0.3">
      <c r="A42" s="94" t="s">
        <v>82</v>
      </c>
      <c r="B42" s="3" t="s">
        <v>117</v>
      </c>
      <c r="C42" s="121" t="s">
        <v>5</v>
      </c>
      <c r="D42" s="18">
        <v>36</v>
      </c>
      <c r="E42" s="18">
        <v>16</v>
      </c>
      <c r="F42" s="19">
        <v>4</v>
      </c>
      <c r="G42" s="19">
        <v>20</v>
      </c>
      <c r="H42" s="97">
        <f t="shared" si="1"/>
        <v>64</v>
      </c>
      <c r="I42" s="20">
        <v>108.6</v>
      </c>
      <c r="J42" s="4">
        <f>HLOOKUP($C42,'Параметры ПФ'!$F$8:$K$13,6,FALSE)</f>
        <v>57.67</v>
      </c>
      <c r="K42" s="4">
        <f t="shared" si="4"/>
        <v>3690.88</v>
      </c>
      <c r="L42" s="5">
        <f>IF(K42&lt;'Параметры ПФ'!J$3+0.01,'Стандартные программы'!K42,ROUNDDOWN('Параметры ПФ'!J$3/IF(I42=0,J42,IF(J42&gt;I42,I42,J42)),0)*IF(I42=0,J42,IF(J42&gt;I42,I42,J42)))</f>
        <v>3690.88</v>
      </c>
      <c r="M42" s="4">
        <f t="shared" si="5"/>
        <v>73817.600000000006</v>
      </c>
      <c r="N42" s="30">
        <f>IF(K42&lt;'Параметры ПФ'!J$3+0.01,E42*F42*G42,ROUNDDOWN('Параметры ПФ'!J$3/IF(I42=0,J42,IF(J42&gt;I42,I42,J42)),0)*G42)</f>
        <v>1280</v>
      </c>
      <c r="O42" s="25"/>
    </row>
    <row r="43" spans="1:15" x14ac:dyDescent="0.3">
      <c r="A43" s="94" t="s">
        <v>82</v>
      </c>
      <c r="B43" s="96" t="s">
        <v>118</v>
      </c>
      <c r="C43" s="120" t="s">
        <v>5</v>
      </c>
      <c r="D43" s="102">
        <v>36</v>
      </c>
      <c r="E43" s="102">
        <v>20</v>
      </c>
      <c r="F43" s="103">
        <v>4</v>
      </c>
      <c r="G43" s="103">
        <v>15</v>
      </c>
      <c r="H43" s="97">
        <f t="shared" si="1"/>
        <v>80</v>
      </c>
      <c r="I43" s="20">
        <v>108.6</v>
      </c>
      <c r="J43" s="4">
        <f>HLOOKUP($C43,'Параметры ПФ'!$F$8:$K$13,6,FALSE)</f>
        <v>57.67</v>
      </c>
      <c r="K43" s="4">
        <f t="shared" si="4"/>
        <v>4613.6000000000004</v>
      </c>
      <c r="L43" s="5">
        <f>IF(K43&lt;'Параметры ПФ'!J$3+0.01,'Стандартные программы'!K43,ROUNDDOWN('Параметры ПФ'!J$3/IF(I43=0,J43,IF(J43&gt;I43,I43,J43)),0)*IF(I43=0,J43,IF(J43&gt;I43,I43,J43)))</f>
        <v>4613.6000000000004</v>
      </c>
      <c r="M43" s="4">
        <f t="shared" si="5"/>
        <v>69204</v>
      </c>
      <c r="N43" s="30">
        <f>IF(K43&lt;'Параметры ПФ'!J$3+0.01,E43*F43*G43,ROUNDDOWN('Параметры ПФ'!J$3/IF(I43=0,J43,IF(J43&gt;I43,I43,J43)),0)*G43)</f>
        <v>1200</v>
      </c>
      <c r="O43" s="25"/>
    </row>
    <row r="44" spans="1:15" x14ac:dyDescent="0.3">
      <c r="A44" s="94" t="s">
        <v>82</v>
      </c>
      <c r="B44" s="96" t="s">
        <v>119</v>
      </c>
      <c r="C44" s="120" t="s">
        <v>5</v>
      </c>
      <c r="D44" s="102">
        <v>36</v>
      </c>
      <c r="E44" s="102">
        <v>16</v>
      </c>
      <c r="F44" s="103">
        <v>4</v>
      </c>
      <c r="G44" s="103">
        <v>18</v>
      </c>
      <c r="H44" s="97">
        <f t="shared" si="1"/>
        <v>64</v>
      </c>
      <c r="I44" s="20">
        <v>108.6</v>
      </c>
      <c r="J44" s="4">
        <f>HLOOKUP($C44,'Параметры ПФ'!$F$8:$K$13,6,FALSE)</f>
        <v>57.67</v>
      </c>
      <c r="K44" s="4">
        <f t="shared" si="4"/>
        <v>3690.88</v>
      </c>
      <c r="L44" s="5">
        <f>IF(K44&lt;'Параметры ПФ'!J$3+0.01,'Стандартные программы'!K44,ROUNDDOWN('Параметры ПФ'!J$3/IF(I44=0,J44,IF(J44&gt;I44,I44,J44)),0)*IF(I44=0,J44,IF(J44&gt;I44,I44,J44)))</f>
        <v>3690.88</v>
      </c>
      <c r="M44" s="4">
        <f t="shared" si="5"/>
        <v>66435.839999999997</v>
      </c>
      <c r="N44" s="30">
        <f>IF(K44&lt;'Параметры ПФ'!J$3+0.01,E44*F44*G44,ROUNDDOWN('Параметры ПФ'!J$3/IF(I44=0,J44,IF(J44&gt;I44,I44,J44)),0)*G44)</f>
        <v>1152</v>
      </c>
      <c r="O44" s="25"/>
    </row>
    <row r="45" spans="1:15" x14ac:dyDescent="0.3">
      <c r="A45" s="94" t="s">
        <v>82</v>
      </c>
      <c r="B45" s="3" t="s">
        <v>120</v>
      </c>
      <c r="C45" s="121" t="s">
        <v>5</v>
      </c>
      <c r="D45" s="18">
        <v>36</v>
      </c>
      <c r="E45" s="18">
        <v>20</v>
      </c>
      <c r="F45" s="19">
        <v>2</v>
      </c>
      <c r="G45" s="19">
        <v>15</v>
      </c>
      <c r="H45" s="97">
        <f t="shared" si="1"/>
        <v>40</v>
      </c>
      <c r="I45" s="20">
        <v>108.6</v>
      </c>
      <c r="J45" s="4">
        <f>HLOOKUP($C45,'Параметры ПФ'!$F$8:$K$13,6,FALSE)</f>
        <v>57.67</v>
      </c>
      <c r="K45" s="4">
        <f t="shared" si="4"/>
        <v>2306.8000000000002</v>
      </c>
      <c r="L45" s="5">
        <f>IF(K45&lt;'Параметры ПФ'!J$3+0.01,'Стандартные программы'!K45,ROUNDDOWN('Параметры ПФ'!J$3/IF(I45=0,J45,IF(J45&gt;I45,I45,J45)),0)*IF(I45=0,J45,IF(J45&gt;I45,I45,J45)))</f>
        <v>2306.8000000000002</v>
      </c>
      <c r="M45" s="4">
        <f t="shared" si="5"/>
        <v>34602</v>
      </c>
      <c r="N45" s="30">
        <f>IF(K45&lt;'Параметры ПФ'!J$3+0.01,E45*F45*G45,ROUNDDOWN('Параметры ПФ'!J$3/IF(I45=0,J45,IF(J45&gt;I45,I45,J45)),0)*G45)</f>
        <v>600</v>
      </c>
      <c r="O45" s="25"/>
    </row>
    <row r="46" spans="1:15" x14ac:dyDescent="0.3">
      <c r="A46" s="94" t="s">
        <v>82</v>
      </c>
      <c r="B46" s="3" t="s">
        <v>120</v>
      </c>
      <c r="C46" s="121" t="s">
        <v>5</v>
      </c>
      <c r="D46" s="18">
        <v>36</v>
      </c>
      <c r="E46" s="18">
        <v>16</v>
      </c>
      <c r="F46" s="19">
        <v>2</v>
      </c>
      <c r="G46" s="19">
        <v>18</v>
      </c>
      <c r="H46" s="97">
        <f t="shared" si="1"/>
        <v>32</v>
      </c>
      <c r="I46" s="20">
        <v>108.6</v>
      </c>
      <c r="J46" s="4">
        <f>HLOOKUP($C46,'Параметры ПФ'!$F$8:$K$13,6,FALSE)</f>
        <v>57.67</v>
      </c>
      <c r="K46" s="4">
        <f t="shared" si="4"/>
        <v>1845.44</v>
      </c>
      <c r="L46" s="5">
        <f>IF(K46&lt;'Параметры ПФ'!J$3+0.01,'Стандартные программы'!K46,ROUNDDOWN('Параметры ПФ'!J$3/IF(I46=0,J46,IF(J46&gt;I46,I46,J46)),0)*IF(I46=0,J46,IF(J46&gt;I46,I46,J46)))</f>
        <v>1845.44</v>
      </c>
      <c r="M46" s="4">
        <f t="shared" si="5"/>
        <v>33217.919999999998</v>
      </c>
      <c r="N46" s="30">
        <f>IF(K46&lt;'Параметры ПФ'!J$3+0.01,E46*F46*G46,ROUNDDOWN('Параметры ПФ'!J$3/IF(I46=0,J46,IF(J46&gt;I46,I46,J46)),0)*G46)</f>
        <v>576</v>
      </c>
      <c r="O46" s="25"/>
    </row>
    <row r="47" spans="1:15" x14ac:dyDescent="0.3">
      <c r="A47" s="94" t="s">
        <v>82</v>
      </c>
      <c r="B47" s="96" t="s">
        <v>121</v>
      </c>
      <c r="C47" s="120" t="s">
        <v>5</v>
      </c>
      <c r="D47" s="102">
        <v>36</v>
      </c>
      <c r="E47" s="102">
        <v>20</v>
      </c>
      <c r="F47" s="103">
        <v>4</v>
      </c>
      <c r="G47" s="103">
        <v>30</v>
      </c>
      <c r="H47" s="97">
        <f t="shared" si="1"/>
        <v>80</v>
      </c>
      <c r="I47" s="20">
        <v>108.6</v>
      </c>
      <c r="J47" s="4">
        <f>HLOOKUP($C47,'Параметры ПФ'!$F$8:$K$13,6,FALSE)</f>
        <v>57.67</v>
      </c>
      <c r="K47" s="4">
        <f t="shared" si="4"/>
        <v>4613.6000000000004</v>
      </c>
      <c r="L47" s="5">
        <f>IF(K47&lt;'Параметры ПФ'!J$3+0.01,'Стандартные программы'!K47,ROUNDDOWN('Параметры ПФ'!J$3/IF(I47=0,J47,IF(J47&gt;I47,I47,J47)),0)*IF(I47=0,J47,IF(J47&gt;I47,I47,J47)))</f>
        <v>4613.6000000000004</v>
      </c>
      <c r="M47" s="4">
        <f t="shared" si="5"/>
        <v>138408</v>
      </c>
      <c r="N47" s="30">
        <f>IF(K47&lt;'Параметры ПФ'!J$3+0.01,E47*F47*G47,ROUNDDOWN('Параметры ПФ'!J$3/IF(I47=0,J47,IF(J47&gt;I47,I47,J47)),0)*G47)</f>
        <v>2400</v>
      </c>
      <c r="O47" s="25"/>
    </row>
    <row r="48" spans="1:15" x14ac:dyDescent="0.3">
      <c r="A48" s="94" t="s">
        <v>82</v>
      </c>
      <c r="B48" s="96" t="s">
        <v>122</v>
      </c>
      <c r="C48" s="120" t="s">
        <v>5</v>
      </c>
      <c r="D48" s="102">
        <v>36</v>
      </c>
      <c r="E48" s="102">
        <v>16</v>
      </c>
      <c r="F48" s="103">
        <v>4</v>
      </c>
      <c r="G48" s="103">
        <v>32</v>
      </c>
      <c r="H48" s="97">
        <f t="shared" si="1"/>
        <v>64</v>
      </c>
      <c r="I48" s="20">
        <v>108.6</v>
      </c>
      <c r="J48" s="4">
        <f>HLOOKUP($C48,'Параметры ПФ'!$F$8:$K$13,6,FALSE)</f>
        <v>57.67</v>
      </c>
      <c r="K48" s="4">
        <f t="shared" si="4"/>
        <v>3690.88</v>
      </c>
      <c r="L48" s="5">
        <f>IF(K48&lt;'Параметры ПФ'!J$3+0.01,'Стандартные программы'!K48,ROUNDDOWN('Параметры ПФ'!J$3/IF(I48=0,J48,IF(J48&gt;I48,I48,J48)),0)*IF(I48=0,J48,IF(J48&gt;I48,I48,J48)))</f>
        <v>3690.88</v>
      </c>
      <c r="M48" s="4">
        <f t="shared" si="5"/>
        <v>118108.16</v>
      </c>
      <c r="N48" s="30">
        <f>IF(K48&lt;'Параметры ПФ'!J$3+0.01,E48*F48*G48,ROUNDDOWN('Параметры ПФ'!J$3/IF(I48=0,J48,IF(J48&gt;I48,I48,J48)),0)*G48)</f>
        <v>2048</v>
      </c>
      <c r="O48" s="25"/>
    </row>
    <row r="49" spans="1:15" x14ac:dyDescent="0.3">
      <c r="A49" s="94" t="s">
        <v>82</v>
      </c>
      <c r="B49" s="3" t="s">
        <v>123</v>
      </c>
      <c r="C49" s="121" t="s">
        <v>5</v>
      </c>
      <c r="D49" s="18">
        <v>36</v>
      </c>
      <c r="E49" s="18">
        <v>20</v>
      </c>
      <c r="F49" s="19">
        <v>4</v>
      </c>
      <c r="G49" s="19">
        <v>16</v>
      </c>
      <c r="H49" s="97">
        <f t="shared" si="1"/>
        <v>80</v>
      </c>
      <c r="I49" s="20">
        <v>108.6</v>
      </c>
      <c r="J49" s="4">
        <f>HLOOKUP($C49,'Параметры ПФ'!$F$8:$K$13,6,FALSE)</f>
        <v>57.67</v>
      </c>
      <c r="K49" s="4">
        <f t="shared" si="4"/>
        <v>4613.6000000000004</v>
      </c>
      <c r="L49" s="5">
        <f>IF(K49&lt;'Параметры ПФ'!J$3+0.01,'Стандартные программы'!K49,ROUNDDOWN('Параметры ПФ'!J$3/IF(I49=0,J49,IF(J49&gt;I49,I49,J49)),0)*IF(I49=0,J49,IF(J49&gt;I49,I49,J49)))</f>
        <v>4613.6000000000004</v>
      </c>
      <c r="M49" s="4">
        <f t="shared" si="5"/>
        <v>73817.600000000006</v>
      </c>
      <c r="N49" s="30">
        <f>IF(K49&lt;'Параметры ПФ'!J$3+0.01,E49*F49*G49,ROUNDDOWN('Параметры ПФ'!J$3/IF(I49=0,J49,IF(J49&gt;I49,I49,J49)),0)*G49)</f>
        <v>1280</v>
      </c>
      <c r="O49" s="25"/>
    </row>
    <row r="50" spans="1:15" x14ac:dyDescent="0.3">
      <c r="A50" s="94" t="s">
        <v>82</v>
      </c>
      <c r="B50" s="3" t="s">
        <v>123</v>
      </c>
      <c r="C50" s="121" t="s">
        <v>5</v>
      </c>
      <c r="D50" s="18">
        <v>36</v>
      </c>
      <c r="E50" s="18">
        <v>16</v>
      </c>
      <c r="F50" s="19">
        <v>4</v>
      </c>
      <c r="G50" s="19">
        <v>16</v>
      </c>
      <c r="H50" s="97">
        <f t="shared" si="1"/>
        <v>64</v>
      </c>
      <c r="I50" s="20">
        <v>108.6</v>
      </c>
      <c r="J50" s="4">
        <f>HLOOKUP($C50,'Параметры ПФ'!$F$8:$K$13,6,FALSE)</f>
        <v>57.67</v>
      </c>
      <c r="K50" s="4">
        <f t="shared" si="4"/>
        <v>3690.88</v>
      </c>
      <c r="L50" s="5">
        <f>IF(K50&lt;'Параметры ПФ'!J$3+0.01,'Стандартные программы'!K50,ROUNDDOWN('Параметры ПФ'!J$3/IF(I50=0,J50,IF(J50&gt;I50,I50,J50)),0)*IF(I50=0,J50,IF(J50&gt;I50,I50,J50)))</f>
        <v>3690.88</v>
      </c>
      <c r="M50" s="4">
        <f t="shared" si="5"/>
        <v>59054.080000000002</v>
      </c>
      <c r="N50" s="30">
        <f>IF(K50&lt;'Параметры ПФ'!J$3+0.01,E50*F50*G50,ROUNDDOWN('Параметры ПФ'!J$3/IF(I50=0,J50,IF(J50&gt;I50,I50,J50)),0)*G50)</f>
        <v>1024</v>
      </c>
      <c r="O50" s="25"/>
    </row>
    <row r="51" spans="1:15" x14ac:dyDescent="0.3">
      <c r="A51" s="94" t="s">
        <v>82</v>
      </c>
      <c r="B51" s="96" t="s">
        <v>124</v>
      </c>
      <c r="C51" s="120" t="s">
        <v>5</v>
      </c>
      <c r="D51" s="102">
        <v>36</v>
      </c>
      <c r="E51" s="102">
        <v>20</v>
      </c>
      <c r="F51" s="103">
        <v>4</v>
      </c>
      <c r="G51" s="103">
        <v>16</v>
      </c>
      <c r="H51" s="97">
        <f t="shared" si="1"/>
        <v>80</v>
      </c>
      <c r="I51" s="20">
        <v>108.6</v>
      </c>
      <c r="J51" s="4">
        <f>HLOOKUP($C51,'Параметры ПФ'!$F$8:$K$13,6,FALSE)</f>
        <v>57.67</v>
      </c>
      <c r="K51" s="4">
        <f t="shared" si="4"/>
        <v>4613.6000000000004</v>
      </c>
      <c r="L51" s="5">
        <f>IF(K51&lt;'Параметры ПФ'!J$3+0.01,'Стандартные программы'!K51,ROUNDDOWN('Параметры ПФ'!J$3/IF(I51=0,J51,IF(J51&gt;I51,I51,J51)),0)*IF(I51=0,J51,IF(J51&gt;I51,I51,J51)))</f>
        <v>4613.6000000000004</v>
      </c>
      <c r="M51" s="4">
        <f t="shared" si="5"/>
        <v>73817.600000000006</v>
      </c>
      <c r="N51" s="30">
        <f>IF(K51&lt;'Параметры ПФ'!J$3+0.01,E51*F51*G51,ROUNDDOWN('Параметры ПФ'!J$3/IF(I51=0,J51,IF(J51&gt;I51,I51,J51)),0)*G51)</f>
        <v>1280</v>
      </c>
      <c r="O51" s="25"/>
    </row>
    <row r="52" spans="1:15" x14ac:dyDescent="0.3">
      <c r="A52" s="94" t="s">
        <v>82</v>
      </c>
      <c r="B52" s="96" t="s">
        <v>124</v>
      </c>
      <c r="C52" s="120" t="s">
        <v>5</v>
      </c>
      <c r="D52" s="102">
        <v>36</v>
      </c>
      <c r="E52" s="102">
        <v>16</v>
      </c>
      <c r="F52" s="103">
        <v>4</v>
      </c>
      <c r="G52" s="103">
        <v>45</v>
      </c>
      <c r="H52" s="97">
        <f t="shared" si="1"/>
        <v>64</v>
      </c>
      <c r="I52" s="20">
        <v>108.6</v>
      </c>
      <c r="J52" s="4">
        <f>HLOOKUP($C52,'Параметры ПФ'!$F$8:$K$13,6,FALSE)</f>
        <v>57.67</v>
      </c>
      <c r="K52" s="4">
        <f t="shared" si="4"/>
        <v>3690.88</v>
      </c>
      <c r="L52" s="5">
        <f>IF(K52&lt;'Параметры ПФ'!J$3+0.01,'Стандартные программы'!K52,ROUNDDOWN('Параметры ПФ'!J$3/IF(I52=0,J52,IF(J52&gt;I52,I52,J52)),0)*IF(I52=0,J52,IF(J52&gt;I52,I52,J52)))</f>
        <v>3690.88</v>
      </c>
      <c r="M52" s="4">
        <f t="shared" si="5"/>
        <v>166089.60000000001</v>
      </c>
      <c r="N52" s="30">
        <f>IF(K52&lt;'Параметры ПФ'!J$3+0.01,E52*F52*G52,ROUNDDOWN('Параметры ПФ'!J$3/IF(I52=0,J52,IF(J52&gt;I52,I52,J52)),0)*G52)</f>
        <v>2880</v>
      </c>
      <c r="O52" s="25"/>
    </row>
    <row r="53" spans="1:15" x14ac:dyDescent="0.3">
      <c r="A53" s="94" t="s">
        <v>82</v>
      </c>
      <c r="B53" s="3" t="s">
        <v>125</v>
      </c>
      <c r="C53" s="121" t="s">
        <v>5</v>
      </c>
      <c r="D53" s="18">
        <v>36</v>
      </c>
      <c r="E53" s="18">
        <v>20</v>
      </c>
      <c r="F53" s="19">
        <v>4</v>
      </c>
      <c r="G53" s="19">
        <v>45</v>
      </c>
      <c r="H53" s="97">
        <f t="shared" si="1"/>
        <v>80</v>
      </c>
      <c r="I53" s="20">
        <v>108.6</v>
      </c>
      <c r="J53" s="4">
        <f>HLOOKUP($C53,'Параметры ПФ'!$F$8:$K$13,6,FALSE)</f>
        <v>57.67</v>
      </c>
      <c r="K53" s="4">
        <f t="shared" si="4"/>
        <v>4613.6000000000004</v>
      </c>
      <c r="L53" s="5">
        <f>IF(K53&lt;'Параметры ПФ'!J$3+0.01,'Стандартные программы'!K53,ROUNDDOWN('Параметры ПФ'!J$3/IF(I53=0,J53,IF(J53&gt;I53,I53,J53)),0)*IF(I53=0,J53,IF(J53&gt;I53,I53,J53)))</f>
        <v>4613.6000000000004</v>
      </c>
      <c r="M53" s="4">
        <f t="shared" si="5"/>
        <v>207612</v>
      </c>
      <c r="N53" s="30">
        <f>IF(K53&lt;'Параметры ПФ'!J$3+0.01,E53*F53*G53,ROUNDDOWN('Параметры ПФ'!J$3/IF(I53=0,J53,IF(J53&gt;I53,I53,J53)),0)*G53)</f>
        <v>3600</v>
      </c>
      <c r="O53" s="25"/>
    </row>
    <row r="54" spans="1:15" x14ac:dyDescent="0.3">
      <c r="A54" s="94" t="s">
        <v>82</v>
      </c>
      <c r="B54" s="3" t="s">
        <v>126</v>
      </c>
      <c r="C54" s="121" t="s">
        <v>5</v>
      </c>
      <c r="D54" s="18">
        <v>36</v>
      </c>
      <c r="E54" s="18">
        <v>16</v>
      </c>
      <c r="F54" s="19">
        <v>4</v>
      </c>
      <c r="G54" s="19">
        <v>45</v>
      </c>
      <c r="H54" s="97">
        <f t="shared" si="1"/>
        <v>64</v>
      </c>
      <c r="I54" s="20">
        <v>108.6</v>
      </c>
      <c r="J54" s="4">
        <f>HLOOKUP($C54,'Параметры ПФ'!$F$8:$K$13,6,FALSE)</f>
        <v>57.67</v>
      </c>
      <c r="K54" s="4">
        <f t="shared" si="4"/>
        <v>3690.88</v>
      </c>
      <c r="L54" s="5">
        <f>IF(K54&lt;'Параметры ПФ'!J$3+0.01,'Стандартные программы'!K54,ROUNDDOWN('Параметры ПФ'!J$3/IF(I54=0,J54,IF(J54&gt;I54,I54,J54)),0)*IF(I54=0,J54,IF(J54&gt;I54,I54,J54)))</f>
        <v>3690.88</v>
      </c>
      <c r="M54" s="4">
        <f t="shared" si="5"/>
        <v>166089.60000000001</v>
      </c>
      <c r="N54" s="30">
        <f>IF(K54&lt;'Параметры ПФ'!J$3+0.01,E54*F54*G54,ROUNDDOWN('Параметры ПФ'!J$3/IF(I54=0,J54,IF(J54&gt;I54,I54,J54)),0)*G54)</f>
        <v>2880</v>
      </c>
      <c r="O54" s="25"/>
    </row>
    <row r="55" spans="1:15" x14ac:dyDescent="0.3">
      <c r="A55" s="94" t="s">
        <v>82</v>
      </c>
      <c r="B55" s="96" t="s">
        <v>127</v>
      </c>
      <c r="C55" s="120" t="s">
        <v>5</v>
      </c>
      <c r="D55" s="102">
        <v>36</v>
      </c>
      <c r="E55" s="102">
        <v>20</v>
      </c>
      <c r="F55" s="103">
        <v>4</v>
      </c>
      <c r="G55" s="103">
        <v>28</v>
      </c>
      <c r="H55" s="97">
        <f t="shared" si="1"/>
        <v>80</v>
      </c>
      <c r="I55" s="20">
        <v>108.6</v>
      </c>
      <c r="J55" s="4">
        <f>HLOOKUP($C55,'Параметры ПФ'!$F$8:$K$13,6,FALSE)</f>
        <v>57.67</v>
      </c>
      <c r="K55" s="4">
        <f t="shared" si="4"/>
        <v>4613.6000000000004</v>
      </c>
      <c r="L55" s="5">
        <f>IF(K55&lt;'Параметры ПФ'!J$3+0.01,'Стандартные программы'!K55,ROUNDDOWN('Параметры ПФ'!J$3/IF(I55=0,J55,IF(J55&gt;I55,I55,J55)),0)*IF(I55=0,J55,IF(J55&gt;I55,I55,J55)))</f>
        <v>4613.6000000000004</v>
      </c>
      <c r="M55" s="4">
        <f t="shared" si="5"/>
        <v>129180.8</v>
      </c>
      <c r="N55" s="30">
        <f>IF(K55&lt;'Параметры ПФ'!J$3+0.01,E55*F55*G55,ROUNDDOWN('Параметры ПФ'!J$3/IF(I55=0,J55,IF(J55&gt;I55,I55,J55)),0)*G55)</f>
        <v>2240</v>
      </c>
      <c r="O55" s="25"/>
    </row>
    <row r="56" spans="1:15" x14ac:dyDescent="0.3">
      <c r="A56" s="94" t="s">
        <v>82</v>
      </c>
      <c r="B56" s="96" t="s">
        <v>127</v>
      </c>
      <c r="C56" s="120" t="s">
        <v>5</v>
      </c>
      <c r="D56" s="102">
        <v>36</v>
      </c>
      <c r="E56" s="102">
        <v>16</v>
      </c>
      <c r="F56" s="103">
        <v>4</v>
      </c>
      <c r="G56" s="103">
        <v>30</v>
      </c>
      <c r="H56" s="97">
        <f t="shared" si="1"/>
        <v>64</v>
      </c>
      <c r="I56" s="20">
        <v>108.6</v>
      </c>
      <c r="J56" s="4">
        <f>HLOOKUP($C56,'Параметры ПФ'!$F$8:$K$13,6,FALSE)</f>
        <v>57.67</v>
      </c>
      <c r="K56" s="4">
        <f t="shared" si="4"/>
        <v>3690.88</v>
      </c>
      <c r="L56" s="5">
        <f>IF(K56&lt;'Параметры ПФ'!J$3+0.01,'Стандартные программы'!K56,ROUNDDOWN('Параметры ПФ'!J$3/IF(I56=0,J56,IF(J56&gt;I56,I56,J56)),0)*IF(I56=0,J56,IF(J56&gt;I56,I56,J56)))</f>
        <v>3690.88</v>
      </c>
      <c r="M56" s="4">
        <f t="shared" si="5"/>
        <v>110726.39999999999</v>
      </c>
      <c r="N56" s="30">
        <f>IF(K56&lt;'Параметры ПФ'!J$3+0.01,E56*F56*G56,ROUNDDOWN('Параметры ПФ'!J$3/IF(I56=0,J56,IF(J56&gt;I56,I56,J56)),0)*G56)</f>
        <v>1920</v>
      </c>
      <c r="O56" s="25"/>
    </row>
    <row r="57" spans="1:15" x14ac:dyDescent="0.3">
      <c r="A57" s="94" t="s">
        <v>82</v>
      </c>
      <c r="B57" s="3" t="s">
        <v>128</v>
      </c>
      <c r="C57" s="121" t="s">
        <v>5</v>
      </c>
      <c r="D57" s="18">
        <v>36</v>
      </c>
      <c r="E57" s="18">
        <v>20</v>
      </c>
      <c r="F57" s="19">
        <v>2</v>
      </c>
      <c r="G57" s="19">
        <v>26</v>
      </c>
      <c r="H57" s="97">
        <f t="shared" si="1"/>
        <v>40</v>
      </c>
      <c r="I57" s="20">
        <v>108.6</v>
      </c>
      <c r="J57" s="4">
        <f>HLOOKUP($C57,'Параметры ПФ'!$F$8:$K$13,6,FALSE)</f>
        <v>57.67</v>
      </c>
      <c r="K57" s="4">
        <f t="shared" si="4"/>
        <v>2306.8000000000002</v>
      </c>
      <c r="L57" s="5">
        <f>IF(K57&lt;'Параметры ПФ'!J$3+0.01,'Стандартные программы'!K57,ROUNDDOWN('Параметры ПФ'!J$3/IF(I57=0,J57,IF(J57&gt;I57,I57,J57)),0)*IF(I57=0,J57,IF(J57&gt;I57,I57,J57)))</f>
        <v>2306.8000000000002</v>
      </c>
      <c r="M57" s="4">
        <f t="shared" si="5"/>
        <v>59976.800000000003</v>
      </c>
      <c r="N57" s="30">
        <f>IF(K57&lt;'Параметры ПФ'!J$3+0.01,E57*F57*G57,ROUNDDOWN('Параметры ПФ'!J$3/IF(I57=0,J57,IF(J57&gt;I57,I57,J57)),0)*G57)</f>
        <v>1040</v>
      </c>
      <c r="O57" s="25"/>
    </row>
    <row r="58" spans="1:15" x14ac:dyDescent="0.3">
      <c r="A58" s="94" t="s">
        <v>82</v>
      </c>
      <c r="B58" s="3" t="s">
        <v>128</v>
      </c>
      <c r="C58" s="121" t="s">
        <v>5</v>
      </c>
      <c r="D58" s="18">
        <v>36</v>
      </c>
      <c r="E58" s="18">
        <v>16</v>
      </c>
      <c r="F58" s="19">
        <v>2</v>
      </c>
      <c r="G58" s="19">
        <v>30</v>
      </c>
      <c r="H58" s="97">
        <f t="shared" si="1"/>
        <v>32</v>
      </c>
      <c r="I58" s="20">
        <v>108.6</v>
      </c>
      <c r="J58" s="4">
        <f>HLOOKUP($C58,'Параметры ПФ'!$F$8:$K$13,6,FALSE)</f>
        <v>57.67</v>
      </c>
      <c r="K58" s="4">
        <f t="shared" si="4"/>
        <v>1845.44</v>
      </c>
      <c r="L58" s="5">
        <f>IF(K58&lt;'Параметры ПФ'!J$3+0.01,'Стандартные программы'!K58,ROUNDDOWN('Параметры ПФ'!J$3/IF(I58=0,J58,IF(J58&gt;I58,I58,J58)),0)*IF(I58=0,J58,IF(J58&gt;I58,I58,J58)))</f>
        <v>1845.44</v>
      </c>
      <c r="M58" s="4">
        <f t="shared" si="5"/>
        <v>55363.199999999997</v>
      </c>
      <c r="N58" s="30">
        <f>IF(K58&lt;'Параметры ПФ'!J$3+0.01,E58*F58*G58,ROUNDDOWN('Параметры ПФ'!J$3/IF(I58=0,J58,IF(J58&gt;I58,I58,J58)),0)*G58)</f>
        <v>960</v>
      </c>
      <c r="O58" s="25"/>
    </row>
    <row r="59" spans="1:15" x14ac:dyDescent="0.3">
      <c r="A59" s="94" t="s">
        <v>82</v>
      </c>
      <c r="B59" s="3" t="s">
        <v>129</v>
      </c>
      <c r="C59" s="121" t="s">
        <v>5</v>
      </c>
      <c r="D59" s="18">
        <v>36</v>
      </c>
      <c r="E59" s="18">
        <v>16</v>
      </c>
      <c r="F59" s="19">
        <v>4</v>
      </c>
      <c r="G59" s="19">
        <v>60</v>
      </c>
      <c r="H59" s="97">
        <f t="shared" si="1"/>
        <v>64</v>
      </c>
      <c r="I59" s="20">
        <v>108.6</v>
      </c>
      <c r="J59" s="4">
        <f>HLOOKUP($C59,'Параметры ПФ'!$F$8:$K$13,6,FALSE)</f>
        <v>57.67</v>
      </c>
      <c r="K59" s="4">
        <f t="shared" si="4"/>
        <v>3690.88</v>
      </c>
      <c r="L59" s="5">
        <f>IF(K59&lt;'Параметры ПФ'!J$3+0.01,'Стандартные программы'!K59,ROUNDDOWN('Параметры ПФ'!J$3/IF(I59=0,J59,IF(J59&gt;I59,I59,J59)),0)*IF(I59=0,J59,IF(J59&gt;I59,I59,J59)))</f>
        <v>3690.88</v>
      </c>
      <c r="M59" s="4">
        <f t="shared" si="5"/>
        <v>221452.79999999999</v>
      </c>
      <c r="N59" s="30">
        <f>IF(K59&lt;'Параметры ПФ'!J$3+0.01,E59*F59*G59,ROUNDDOWN('Параметры ПФ'!J$3/IF(I59=0,J59,IF(J59&gt;I59,I59,J59)),0)*G59)</f>
        <v>3840</v>
      </c>
      <c r="O59" s="25"/>
    </row>
    <row r="60" spans="1:15" x14ac:dyDescent="0.3">
      <c r="A60" s="94" t="s">
        <v>82</v>
      </c>
      <c r="B60" s="96" t="s">
        <v>130</v>
      </c>
      <c r="C60" s="120" t="s">
        <v>5</v>
      </c>
      <c r="D60" s="102">
        <v>36</v>
      </c>
      <c r="E60" s="102">
        <v>20</v>
      </c>
      <c r="F60" s="103">
        <v>4</v>
      </c>
      <c r="G60" s="103">
        <v>15</v>
      </c>
      <c r="H60" s="97">
        <f t="shared" si="1"/>
        <v>80</v>
      </c>
      <c r="I60" s="20">
        <v>108.6</v>
      </c>
      <c r="J60" s="4">
        <f>HLOOKUP($C60,'Параметры ПФ'!$F$8:$K$13,6,FALSE)</f>
        <v>57.67</v>
      </c>
      <c r="K60" s="4">
        <f t="shared" si="4"/>
        <v>4613.6000000000004</v>
      </c>
      <c r="L60" s="5">
        <f>IF(K60&lt;'Параметры ПФ'!J$3+0.01,'Стандартные программы'!K60,ROUNDDOWN('Параметры ПФ'!J$3/IF(I60=0,J60,IF(J60&gt;I60,I60,J60)),0)*IF(I60=0,J60,IF(J60&gt;I60,I60,J60)))</f>
        <v>4613.6000000000004</v>
      </c>
      <c r="M60" s="4">
        <f t="shared" si="5"/>
        <v>69204</v>
      </c>
      <c r="N60" s="30">
        <f>IF(K60&lt;'Параметры ПФ'!J$3+0.01,E60*F60*G60,ROUNDDOWN('Параметры ПФ'!J$3/IF(I60=0,J60,IF(J60&gt;I60,I60,J60)),0)*G60)</f>
        <v>1200</v>
      </c>
      <c r="O60" s="25"/>
    </row>
    <row r="61" spans="1:15" x14ac:dyDescent="0.3">
      <c r="A61" s="94" t="s">
        <v>82</v>
      </c>
      <c r="B61" s="96" t="s">
        <v>131</v>
      </c>
      <c r="C61" s="120" t="s">
        <v>5</v>
      </c>
      <c r="D61" s="102">
        <v>36</v>
      </c>
      <c r="E61" s="102">
        <v>16</v>
      </c>
      <c r="F61" s="103">
        <v>4</v>
      </c>
      <c r="G61" s="103">
        <v>16</v>
      </c>
      <c r="H61" s="97">
        <f t="shared" si="1"/>
        <v>64</v>
      </c>
      <c r="I61" s="20">
        <v>108.6</v>
      </c>
      <c r="J61" s="4">
        <f>HLOOKUP($C61,'Параметры ПФ'!$F$8:$K$13,6,FALSE)</f>
        <v>57.67</v>
      </c>
      <c r="K61" s="4">
        <f t="shared" si="4"/>
        <v>3690.88</v>
      </c>
      <c r="L61" s="5">
        <f>IF(K61&lt;'Параметры ПФ'!J$3+0.01,'Стандартные программы'!K61,ROUNDDOWN('Параметры ПФ'!J$3/IF(I61=0,J61,IF(J61&gt;I61,I61,J61)),0)*IF(I61=0,J61,IF(J61&gt;I61,I61,J61)))</f>
        <v>3690.88</v>
      </c>
      <c r="M61" s="4">
        <f t="shared" si="5"/>
        <v>59054.080000000002</v>
      </c>
      <c r="N61" s="30">
        <f>IF(K61&lt;'Параметры ПФ'!J$3+0.01,E61*F61*G61,ROUNDDOWN('Параметры ПФ'!J$3/IF(I61=0,J61,IF(J61&gt;I61,I61,J61)),0)*G61)</f>
        <v>1024</v>
      </c>
      <c r="O61" s="25"/>
    </row>
    <row r="62" spans="1:15" x14ac:dyDescent="0.3">
      <c r="A62" s="94" t="s">
        <v>82</v>
      </c>
      <c r="B62" s="3" t="s">
        <v>132</v>
      </c>
      <c r="C62" s="121" t="s">
        <v>5</v>
      </c>
      <c r="D62" s="18">
        <v>36</v>
      </c>
      <c r="E62" s="18">
        <v>20</v>
      </c>
      <c r="F62" s="19">
        <v>4</v>
      </c>
      <c r="G62" s="19">
        <v>16</v>
      </c>
      <c r="H62" s="97">
        <f t="shared" si="1"/>
        <v>80</v>
      </c>
      <c r="I62" s="20">
        <v>108.6</v>
      </c>
      <c r="J62" s="4">
        <f>HLOOKUP($C62,'Параметры ПФ'!$F$8:$K$13,6,FALSE)</f>
        <v>57.67</v>
      </c>
      <c r="K62" s="4">
        <f t="shared" si="4"/>
        <v>4613.6000000000004</v>
      </c>
      <c r="L62" s="5">
        <f>IF(K62&lt;'Параметры ПФ'!J$3+0.01,'Стандартные программы'!K62,ROUNDDOWN('Параметры ПФ'!J$3/IF(I62=0,J62,IF(J62&gt;I62,I62,J62)),0)*IF(I62=0,J62,IF(J62&gt;I62,I62,J62)))</f>
        <v>4613.6000000000004</v>
      </c>
      <c r="M62" s="4">
        <f t="shared" si="5"/>
        <v>73817.600000000006</v>
      </c>
      <c r="N62" s="30">
        <f>IF(K62&lt;'Параметры ПФ'!J$3+0.01,E62*F62*G62,ROUNDDOWN('Параметры ПФ'!J$3/IF(I62=0,J62,IF(J62&gt;I62,I62,J62)),0)*G62)</f>
        <v>1280</v>
      </c>
      <c r="O62" s="25"/>
    </row>
    <row r="63" spans="1:15" x14ac:dyDescent="0.3">
      <c r="A63" s="94" t="s">
        <v>82</v>
      </c>
      <c r="B63" s="3" t="s">
        <v>132</v>
      </c>
      <c r="C63" s="121" t="s">
        <v>5</v>
      </c>
      <c r="D63" s="18">
        <v>36</v>
      </c>
      <c r="E63" s="18">
        <v>16</v>
      </c>
      <c r="F63" s="19">
        <v>4</v>
      </c>
      <c r="G63" s="19">
        <v>16</v>
      </c>
      <c r="H63" s="97">
        <f t="shared" si="1"/>
        <v>64</v>
      </c>
      <c r="I63" s="20">
        <v>108.6</v>
      </c>
      <c r="J63" s="4">
        <f>HLOOKUP($C63,'Параметры ПФ'!$F$8:$K$13,6,FALSE)</f>
        <v>57.67</v>
      </c>
      <c r="K63" s="4">
        <f t="shared" si="4"/>
        <v>3690.88</v>
      </c>
      <c r="L63" s="5">
        <f>IF(K63&lt;'Параметры ПФ'!J$3+0.01,'Стандартные программы'!K63,ROUNDDOWN('Параметры ПФ'!J$3/IF(I63=0,J63,IF(J63&gt;I63,I63,J63)),0)*IF(I63=0,J63,IF(J63&gt;I63,I63,J63)))</f>
        <v>3690.88</v>
      </c>
      <c r="M63" s="4">
        <f t="shared" si="5"/>
        <v>59054.080000000002</v>
      </c>
      <c r="N63" s="30">
        <f>IF(K63&lt;'Параметры ПФ'!J$3+0.01,E63*F63*G63,ROUNDDOWN('Параметры ПФ'!J$3/IF(I63=0,J63,IF(J63&gt;I63,I63,J63)),0)*G63)</f>
        <v>1024</v>
      </c>
      <c r="O63" s="25"/>
    </row>
    <row r="64" spans="1:15" x14ac:dyDescent="0.3">
      <c r="A64" s="94" t="s">
        <v>82</v>
      </c>
      <c r="B64" s="96" t="s">
        <v>133</v>
      </c>
      <c r="C64" s="120" t="s">
        <v>5</v>
      </c>
      <c r="D64" s="102">
        <v>36</v>
      </c>
      <c r="E64" s="102">
        <v>20</v>
      </c>
      <c r="F64" s="103">
        <v>2</v>
      </c>
      <c r="G64" s="103">
        <v>28</v>
      </c>
      <c r="H64" s="97">
        <f t="shared" si="1"/>
        <v>40</v>
      </c>
      <c r="I64" s="20">
        <v>108.6</v>
      </c>
      <c r="J64" s="4">
        <f>HLOOKUP($C64,'Параметры ПФ'!$F$8:$K$13,6,FALSE)</f>
        <v>57.67</v>
      </c>
      <c r="K64" s="4">
        <f t="shared" si="4"/>
        <v>2306.8000000000002</v>
      </c>
      <c r="L64" s="5">
        <f>IF(K64&lt;'Параметры ПФ'!J$3+0.01,'Стандартные программы'!K64,ROUNDDOWN('Параметры ПФ'!J$3/IF(I64=0,J64,IF(J64&gt;I64,I64,J64)),0)*IF(I64=0,J64,IF(J64&gt;I64,I64,J64)))</f>
        <v>2306.8000000000002</v>
      </c>
      <c r="M64" s="4">
        <f t="shared" si="5"/>
        <v>64590.400000000001</v>
      </c>
      <c r="N64" s="30">
        <f>IF(K64&lt;'Параметры ПФ'!J$3+0.01,E64*F64*G64,ROUNDDOWN('Параметры ПФ'!J$3/IF(I64=0,J64,IF(J64&gt;I64,I64,J64)),0)*G64)</f>
        <v>1120</v>
      </c>
      <c r="O64" s="25"/>
    </row>
    <row r="65" spans="1:15" x14ac:dyDescent="0.3">
      <c r="A65" s="94" t="s">
        <v>82</v>
      </c>
      <c r="B65" s="96" t="s">
        <v>134</v>
      </c>
      <c r="C65" s="120" t="s">
        <v>5</v>
      </c>
      <c r="D65" s="102">
        <v>36</v>
      </c>
      <c r="E65" s="102">
        <v>16</v>
      </c>
      <c r="F65" s="103">
        <v>2</v>
      </c>
      <c r="G65" s="103">
        <v>28</v>
      </c>
      <c r="H65" s="97">
        <f t="shared" si="1"/>
        <v>32</v>
      </c>
      <c r="I65" s="20">
        <v>108.6</v>
      </c>
      <c r="J65" s="4">
        <f>HLOOKUP($C65,'Параметры ПФ'!$F$8:$K$13,6,FALSE)</f>
        <v>57.67</v>
      </c>
      <c r="K65" s="4">
        <f t="shared" si="4"/>
        <v>1845.44</v>
      </c>
      <c r="L65" s="5">
        <f>IF(K65&lt;'Параметры ПФ'!J$3+0.01,'Стандартные программы'!K65,ROUNDDOWN('Параметры ПФ'!J$3/IF(I65=0,J65,IF(J65&gt;I65,I65,J65)),0)*IF(I65=0,J65,IF(J65&gt;I65,I65,J65)))</f>
        <v>1845.44</v>
      </c>
      <c r="M65" s="4">
        <f t="shared" si="5"/>
        <v>51672.32</v>
      </c>
      <c r="N65" s="30">
        <f>IF(K65&lt;'Параметры ПФ'!J$3+0.01,E65*F65*G65,ROUNDDOWN('Параметры ПФ'!J$3/IF(I65=0,J65,IF(J65&gt;I65,I65,J65)),0)*G65)</f>
        <v>896</v>
      </c>
      <c r="O65" s="25"/>
    </row>
    <row r="66" spans="1:15" x14ac:dyDescent="0.3">
      <c r="A66" s="94" t="s">
        <v>82</v>
      </c>
      <c r="B66" s="3" t="s">
        <v>135</v>
      </c>
      <c r="C66" s="121" t="s">
        <v>5</v>
      </c>
      <c r="D66" s="18">
        <v>36</v>
      </c>
      <c r="E66" s="18">
        <v>20</v>
      </c>
      <c r="F66" s="19">
        <v>4</v>
      </c>
      <c r="G66" s="19">
        <v>16</v>
      </c>
      <c r="H66" s="97">
        <f t="shared" si="1"/>
        <v>80</v>
      </c>
      <c r="I66" s="20">
        <v>108.6</v>
      </c>
      <c r="J66" s="4">
        <f>HLOOKUP($C66,'Параметры ПФ'!$F$8:$K$13,6,FALSE)</f>
        <v>57.67</v>
      </c>
      <c r="K66" s="4">
        <f t="shared" si="4"/>
        <v>4613.6000000000004</v>
      </c>
      <c r="L66" s="5">
        <f>IF(K66&lt;'Параметры ПФ'!J$3+0.01,'Стандартные программы'!K66,ROUNDDOWN('Параметры ПФ'!J$3/IF(I66=0,J66,IF(J66&gt;I66,I66,J66)),0)*IF(I66=0,J66,IF(J66&gt;I66,I66,J66)))</f>
        <v>4613.6000000000004</v>
      </c>
      <c r="M66" s="4">
        <f t="shared" si="5"/>
        <v>73817.600000000006</v>
      </c>
      <c r="N66" s="30">
        <f>IF(K66&lt;'Параметры ПФ'!J$3+0.01,E66*F66*G66,ROUNDDOWN('Параметры ПФ'!J$3/IF(I66=0,J66,IF(J66&gt;I66,I66,J66)),0)*G66)</f>
        <v>1280</v>
      </c>
      <c r="O66" s="25"/>
    </row>
    <row r="67" spans="1:15" x14ac:dyDescent="0.3">
      <c r="A67" s="94" t="s">
        <v>82</v>
      </c>
      <c r="B67" s="3" t="s">
        <v>136</v>
      </c>
      <c r="C67" s="121" t="s">
        <v>5</v>
      </c>
      <c r="D67" s="18">
        <v>36</v>
      </c>
      <c r="E67" s="18">
        <v>16</v>
      </c>
      <c r="F67" s="19">
        <v>4</v>
      </c>
      <c r="G67" s="19">
        <v>16</v>
      </c>
      <c r="H67" s="97">
        <f t="shared" ref="H67:H131" si="6">E67*F67</f>
        <v>64</v>
      </c>
      <c r="I67" s="20">
        <v>108.6</v>
      </c>
      <c r="J67" s="4">
        <f>HLOOKUP($C67,'Параметры ПФ'!$F$8:$K$13,6,FALSE)</f>
        <v>57.67</v>
      </c>
      <c r="K67" s="4">
        <f t="shared" si="4"/>
        <v>3690.88</v>
      </c>
      <c r="L67" s="5">
        <f>IF(K67&lt;'Параметры ПФ'!J$3+0.01,'Стандартные программы'!K67,ROUNDDOWN('Параметры ПФ'!J$3/IF(I67=0,J67,IF(J67&gt;I67,I67,J67)),0)*IF(I67=0,J67,IF(J67&gt;I67,I67,J67)))</f>
        <v>3690.88</v>
      </c>
      <c r="M67" s="4">
        <f t="shared" si="5"/>
        <v>59054.080000000002</v>
      </c>
      <c r="N67" s="30">
        <f>IF(K67&lt;'Параметры ПФ'!J$3+0.01,E67*F67*G67,ROUNDDOWN('Параметры ПФ'!J$3/IF(I67=0,J67,IF(J67&gt;I67,I67,J67)),0)*G67)</f>
        <v>1024</v>
      </c>
      <c r="O67" s="25"/>
    </row>
    <row r="68" spans="1:15" x14ac:dyDescent="0.3">
      <c r="A68" s="94" t="s">
        <v>82</v>
      </c>
      <c r="B68" s="107" t="s">
        <v>137</v>
      </c>
      <c r="C68" s="123" t="s">
        <v>5</v>
      </c>
      <c r="D68" s="108">
        <v>36</v>
      </c>
      <c r="E68" s="108">
        <v>16</v>
      </c>
      <c r="F68" s="109">
        <v>4</v>
      </c>
      <c r="G68" s="109">
        <v>20</v>
      </c>
      <c r="H68" s="97">
        <f t="shared" si="6"/>
        <v>64</v>
      </c>
      <c r="I68" s="20">
        <v>108.6</v>
      </c>
      <c r="J68" s="4">
        <f>HLOOKUP($C68,'Параметры ПФ'!$F$8:$K$13,6,FALSE)</f>
        <v>57.67</v>
      </c>
      <c r="K68" s="4">
        <f t="shared" si="4"/>
        <v>3690.88</v>
      </c>
      <c r="L68" s="5">
        <f>IF(K68&lt;'Параметры ПФ'!J$3+0.01,'Стандартные программы'!K68,ROUNDDOWN('Параметры ПФ'!J$3/IF(I68=0,J68,IF(J68&gt;I68,I68,J68)),0)*IF(I68=0,J68,IF(J68&gt;I68,I68,J68)))</f>
        <v>3690.88</v>
      </c>
      <c r="M68" s="4">
        <f t="shared" si="5"/>
        <v>73817.600000000006</v>
      </c>
      <c r="N68" s="30">
        <f>IF(K68&lt;'Параметры ПФ'!J$3+0.01,E68*F68*G68,ROUNDDOWN('Параметры ПФ'!J$3/IF(I68=0,J68,IF(J68&gt;I68,I68,J68)),0)*G68)</f>
        <v>1280</v>
      </c>
      <c r="O68" s="25"/>
    </row>
    <row r="69" spans="1:15" x14ac:dyDescent="0.3">
      <c r="A69" s="94" t="s">
        <v>82</v>
      </c>
      <c r="B69" s="107" t="s">
        <v>138</v>
      </c>
      <c r="C69" s="123" t="s">
        <v>5</v>
      </c>
      <c r="D69" s="108">
        <v>36</v>
      </c>
      <c r="E69" s="108">
        <v>16</v>
      </c>
      <c r="F69" s="109">
        <v>4</v>
      </c>
      <c r="G69" s="109">
        <v>20</v>
      </c>
      <c r="H69" s="97">
        <f t="shared" si="6"/>
        <v>64</v>
      </c>
      <c r="I69" s="20">
        <v>108.6</v>
      </c>
      <c r="J69" s="4">
        <f>HLOOKUP($C69,'Параметры ПФ'!$F$8:$K$13,6,FALSE)</f>
        <v>57.67</v>
      </c>
      <c r="K69" s="4">
        <f t="shared" si="4"/>
        <v>3690.88</v>
      </c>
      <c r="L69" s="5">
        <f>IF(K69&lt;'Параметры ПФ'!J$3+0.01,'Стандартные программы'!K69,ROUNDDOWN('Параметры ПФ'!J$3/IF(I69=0,J69,IF(J69&gt;I69,I69,J69)),0)*IF(I69=0,J69,IF(J69&gt;I69,I69,J69)))</f>
        <v>3690.88</v>
      </c>
      <c r="M69" s="4">
        <f t="shared" si="5"/>
        <v>73817.600000000006</v>
      </c>
      <c r="N69" s="30">
        <f>IF(K69&lt;'Параметры ПФ'!J$3+0.01,E69*F69*G69,ROUNDDOWN('Параметры ПФ'!J$3/IF(I69=0,J69,IF(J69&gt;I69,I69,J69)),0)*G69)</f>
        <v>1280</v>
      </c>
      <c r="O69" s="25"/>
    </row>
    <row r="70" spans="1:15" x14ac:dyDescent="0.3">
      <c r="A70" s="94" t="s">
        <v>82</v>
      </c>
      <c r="B70" s="107" t="s">
        <v>139</v>
      </c>
      <c r="C70" s="123" t="s">
        <v>5</v>
      </c>
      <c r="D70" s="108">
        <v>36</v>
      </c>
      <c r="E70" s="108">
        <v>16</v>
      </c>
      <c r="F70" s="109">
        <v>4</v>
      </c>
      <c r="G70" s="109">
        <v>30</v>
      </c>
      <c r="H70" s="97">
        <f t="shared" si="6"/>
        <v>64</v>
      </c>
      <c r="I70" s="20">
        <v>108.6</v>
      </c>
      <c r="J70" s="4">
        <f>HLOOKUP($C70,'Параметры ПФ'!$F$8:$K$13,6,FALSE)</f>
        <v>57.67</v>
      </c>
      <c r="K70" s="4">
        <f t="shared" si="4"/>
        <v>3690.88</v>
      </c>
      <c r="L70" s="5">
        <f>IF(K70&lt;'Параметры ПФ'!J$3+0.01,'Стандартные программы'!K70,ROUNDDOWN('Параметры ПФ'!J$3/IF(I70=0,J70,IF(J70&gt;I70,I70,J70)),0)*IF(I70=0,J70,IF(J70&gt;I70,I70,J70)))</f>
        <v>3690.88</v>
      </c>
      <c r="M70" s="4">
        <f t="shared" si="5"/>
        <v>110726.39999999999</v>
      </c>
      <c r="N70" s="30">
        <f>IF(K70&lt;'Параметры ПФ'!J$3+0.01,E70*F70*G70,ROUNDDOWN('Параметры ПФ'!J$3/IF(I70=0,J70,IF(J70&gt;I70,I70,J70)),0)*G70)</f>
        <v>1920</v>
      </c>
      <c r="O70" s="25"/>
    </row>
    <row r="71" spans="1:15" x14ac:dyDescent="0.3">
      <c r="A71" s="94" t="s">
        <v>82</v>
      </c>
      <c r="B71" s="3" t="s">
        <v>140</v>
      </c>
      <c r="C71" s="121" t="s">
        <v>5</v>
      </c>
      <c r="D71" s="18">
        <v>36</v>
      </c>
      <c r="E71" s="18">
        <v>20</v>
      </c>
      <c r="F71" s="19">
        <v>4</v>
      </c>
      <c r="G71" s="19">
        <v>32</v>
      </c>
      <c r="H71" s="97">
        <f t="shared" si="6"/>
        <v>80</v>
      </c>
      <c r="I71" s="20">
        <v>108.6</v>
      </c>
      <c r="J71" s="4">
        <f>HLOOKUP($C71,'Параметры ПФ'!$F$8:$K$13,6,FALSE)</f>
        <v>57.67</v>
      </c>
      <c r="K71" s="4">
        <f t="shared" si="4"/>
        <v>4613.6000000000004</v>
      </c>
      <c r="L71" s="5">
        <f>IF(K71&lt;'Параметры ПФ'!J$3+0.01,'Стандартные программы'!K71,ROUNDDOWN('Параметры ПФ'!J$3/IF(I71=0,J71,IF(J71&gt;I71,I71,J71)),0)*IF(I71=0,J71,IF(J71&gt;I71,I71,J71)))</f>
        <v>4613.6000000000004</v>
      </c>
      <c r="M71" s="4">
        <f t="shared" si="5"/>
        <v>147635.20000000001</v>
      </c>
      <c r="N71" s="30">
        <f>IF(K71&lt;'Параметры ПФ'!J$3+0.01,E71*F71*G71,ROUNDDOWN('Параметры ПФ'!J$3/IF(I71=0,J71,IF(J71&gt;I71,I71,J71)),0)*G71)</f>
        <v>2560</v>
      </c>
      <c r="O71" s="25"/>
    </row>
    <row r="72" spans="1:15" x14ac:dyDescent="0.3">
      <c r="A72" s="94" t="s">
        <v>82</v>
      </c>
      <c r="B72" s="3" t="s">
        <v>141</v>
      </c>
      <c r="C72" s="121" t="s">
        <v>5</v>
      </c>
      <c r="D72" s="18">
        <v>36</v>
      </c>
      <c r="E72" s="18">
        <v>16</v>
      </c>
      <c r="F72" s="19">
        <v>4</v>
      </c>
      <c r="G72" s="19">
        <v>37</v>
      </c>
      <c r="H72" s="97">
        <f t="shared" si="6"/>
        <v>64</v>
      </c>
      <c r="I72" s="20">
        <v>108.6</v>
      </c>
      <c r="J72" s="4">
        <f>HLOOKUP($C72,'Параметры ПФ'!$F$8:$K$13,6,FALSE)</f>
        <v>57.67</v>
      </c>
      <c r="K72" s="4">
        <f t="shared" si="4"/>
        <v>3690.88</v>
      </c>
      <c r="L72" s="5">
        <f>IF(K72&lt;'Параметры ПФ'!J$3+0.01,'Стандартные программы'!K72,ROUNDDOWN('Параметры ПФ'!J$3/IF(I72=0,J72,IF(J72&gt;I72,I72,J72)),0)*IF(I72=0,J72,IF(J72&gt;I72,I72,J72)))</f>
        <v>3690.88</v>
      </c>
      <c r="M72" s="4">
        <f t="shared" si="5"/>
        <v>136562.56</v>
      </c>
      <c r="N72" s="30">
        <f>IF(K72&lt;'Параметры ПФ'!J$3+0.01,E72*F72*G72,ROUNDDOWN('Параметры ПФ'!J$3/IF(I72=0,J72,IF(J72&gt;I72,I72,J72)),0)*G72)</f>
        <v>2368</v>
      </c>
      <c r="O72" s="25"/>
    </row>
    <row r="73" spans="1:15" x14ac:dyDescent="0.3">
      <c r="A73" s="94" t="s">
        <v>82</v>
      </c>
      <c r="B73" s="96" t="s">
        <v>142</v>
      </c>
      <c r="C73" s="120" t="s">
        <v>5</v>
      </c>
      <c r="D73" s="102">
        <v>36</v>
      </c>
      <c r="E73" s="102">
        <v>20</v>
      </c>
      <c r="F73" s="103">
        <v>4</v>
      </c>
      <c r="G73" s="103">
        <v>20</v>
      </c>
      <c r="H73" s="97">
        <f t="shared" si="6"/>
        <v>80</v>
      </c>
      <c r="I73" s="20">
        <v>108.6</v>
      </c>
      <c r="J73" s="4">
        <f>HLOOKUP($C73,'Параметры ПФ'!$F$8:$K$13,6,FALSE)</f>
        <v>57.67</v>
      </c>
      <c r="K73" s="4">
        <f t="shared" si="4"/>
        <v>4613.6000000000004</v>
      </c>
      <c r="L73" s="5">
        <f>IF(K73&lt;'Параметры ПФ'!J$3+0.01,'Стандартные программы'!K73,ROUNDDOWN('Параметры ПФ'!J$3/IF(I73=0,J73,IF(J73&gt;I73,I73,J73)),0)*IF(I73=0,J73,IF(J73&gt;I73,I73,J73)))</f>
        <v>4613.6000000000004</v>
      </c>
      <c r="M73" s="4">
        <f t="shared" si="5"/>
        <v>92272</v>
      </c>
      <c r="N73" s="30">
        <f>IF(K73&lt;'Параметры ПФ'!J$3+0.01,E73*F73*G73,ROUNDDOWN('Параметры ПФ'!J$3/IF(I73=0,J73,IF(J73&gt;I73,I73,J73)),0)*G73)</f>
        <v>1600</v>
      </c>
      <c r="O73" s="25"/>
    </row>
    <row r="74" spans="1:15" x14ac:dyDescent="0.3">
      <c r="A74" s="94" t="s">
        <v>82</v>
      </c>
      <c r="B74" s="96" t="s">
        <v>143</v>
      </c>
      <c r="C74" s="120" t="s">
        <v>5</v>
      </c>
      <c r="D74" s="102">
        <v>36</v>
      </c>
      <c r="E74" s="102">
        <v>16</v>
      </c>
      <c r="F74" s="103">
        <v>4</v>
      </c>
      <c r="G74" s="103">
        <v>20</v>
      </c>
      <c r="H74" s="97">
        <f t="shared" si="6"/>
        <v>64</v>
      </c>
      <c r="I74" s="20">
        <v>108.6</v>
      </c>
      <c r="J74" s="4">
        <f>HLOOKUP($C74,'Параметры ПФ'!$F$8:$K$13,6,FALSE)</f>
        <v>57.67</v>
      </c>
      <c r="K74" s="4">
        <f t="shared" si="4"/>
        <v>3690.88</v>
      </c>
      <c r="L74" s="5">
        <f>IF(K74&lt;'Параметры ПФ'!J$3+0.01,'Стандартные программы'!K74,ROUNDDOWN('Параметры ПФ'!J$3/IF(I74=0,J74,IF(J74&gt;I74,I74,J74)),0)*IF(I74=0,J74,IF(J74&gt;I74,I74,J74)))</f>
        <v>3690.88</v>
      </c>
      <c r="M74" s="4">
        <f t="shared" si="5"/>
        <v>73817.600000000006</v>
      </c>
      <c r="N74" s="30">
        <f>IF(K74&lt;'Параметры ПФ'!J$3+0.01,E74*F74*G74,ROUNDDOWN('Параметры ПФ'!J$3/IF(I74=0,J74,IF(J74&gt;I74,I74,J74)),0)*G74)</f>
        <v>1280</v>
      </c>
      <c r="O74" s="25"/>
    </row>
    <row r="75" spans="1:15" x14ac:dyDescent="0.3">
      <c r="A75" s="94" t="s">
        <v>82</v>
      </c>
      <c r="B75" s="3" t="s">
        <v>144</v>
      </c>
      <c r="C75" s="121" t="s">
        <v>5</v>
      </c>
      <c r="D75" s="18">
        <v>36</v>
      </c>
      <c r="E75" s="18">
        <v>20</v>
      </c>
      <c r="F75" s="19">
        <v>4</v>
      </c>
      <c r="G75" s="19">
        <v>20</v>
      </c>
      <c r="H75" s="97">
        <f t="shared" si="6"/>
        <v>80</v>
      </c>
      <c r="I75" s="20">
        <v>108.6</v>
      </c>
      <c r="J75" s="4">
        <f>HLOOKUP($C75,'Параметры ПФ'!$F$8:$K$13,6,FALSE)</f>
        <v>57.67</v>
      </c>
      <c r="K75" s="4">
        <f t="shared" si="4"/>
        <v>4613.6000000000004</v>
      </c>
      <c r="L75" s="5">
        <f>IF(K75&lt;'Параметры ПФ'!J$3+0.01,'Стандартные программы'!K75,ROUNDDOWN('Параметры ПФ'!J$3/IF(I75=0,J75,IF(J75&gt;I75,I75,J75)),0)*IF(I75=0,J75,IF(J75&gt;I75,I75,J75)))</f>
        <v>4613.6000000000004</v>
      </c>
      <c r="M75" s="4">
        <f t="shared" si="5"/>
        <v>92272</v>
      </c>
      <c r="N75" s="30">
        <f>IF(K75&lt;'Параметры ПФ'!J$3+0.01,E75*F75*G75,ROUNDDOWN('Параметры ПФ'!J$3/IF(I75=0,J75,IF(J75&gt;I75,I75,J75)),0)*G75)</f>
        <v>1600</v>
      </c>
      <c r="O75" s="25"/>
    </row>
    <row r="76" spans="1:15" x14ac:dyDescent="0.3">
      <c r="A76" s="94" t="s">
        <v>82</v>
      </c>
      <c r="B76" s="110" t="s">
        <v>145</v>
      </c>
      <c r="C76" s="124" t="s">
        <v>5</v>
      </c>
      <c r="D76" s="111">
        <v>36</v>
      </c>
      <c r="E76" s="111">
        <v>16</v>
      </c>
      <c r="F76" s="112">
        <v>2</v>
      </c>
      <c r="G76" s="112">
        <v>20</v>
      </c>
      <c r="H76" s="97">
        <f t="shared" si="6"/>
        <v>32</v>
      </c>
      <c r="I76" s="20">
        <v>108.6</v>
      </c>
      <c r="J76" s="4">
        <f>HLOOKUP($C76,'Параметры ПФ'!$F$8:$K$13,6,FALSE)</f>
        <v>57.67</v>
      </c>
      <c r="K76" s="4">
        <f t="shared" ref="K76:K129" si="7">IF(I76=0,J76*F76*E76,IF(J76&gt;I76,I76*F76*E76,J76*F76*E76))</f>
        <v>1845.44</v>
      </c>
      <c r="L76" s="5">
        <f>IF(K76&lt;'Параметры ПФ'!J$3+0.01,'Стандартные программы'!K76,ROUNDDOWN('Параметры ПФ'!J$3/IF(I76=0,J76,IF(J76&gt;I76,I76,J76)),0)*IF(I76=0,J76,IF(J76&gt;I76,I76,J76)))</f>
        <v>1845.44</v>
      </c>
      <c r="M76" s="4">
        <f t="shared" ref="M76:M129" si="8">L76*G76</f>
        <v>36908.800000000003</v>
      </c>
      <c r="N76" s="30">
        <f>IF(K76&lt;'Параметры ПФ'!J$3+0.01,E76*F76*G76,ROUNDDOWN('Параметры ПФ'!J$3/IF(I76=0,J76,IF(J76&gt;I76,I76,J76)),0)*G76)</f>
        <v>640</v>
      </c>
      <c r="O76" s="25"/>
    </row>
    <row r="77" spans="1:15" x14ac:dyDescent="0.3">
      <c r="A77" s="94" t="s">
        <v>82</v>
      </c>
      <c r="B77" s="3" t="s">
        <v>146</v>
      </c>
      <c r="C77" s="121" t="s">
        <v>5</v>
      </c>
      <c r="D77" s="18">
        <v>36</v>
      </c>
      <c r="E77" s="18">
        <v>20</v>
      </c>
      <c r="F77" s="19">
        <v>2</v>
      </c>
      <c r="G77" s="19">
        <v>50</v>
      </c>
      <c r="H77" s="97">
        <f t="shared" si="6"/>
        <v>40</v>
      </c>
      <c r="I77" s="20">
        <v>108.6</v>
      </c>
      <c r="J77" s="4">
        <f>HLOOKUP($C77,'Параметры ПФ'!$F$8:$K$13,6,FALSE)</f>
        <v>57.67</v>
      </c>
      <c r="K77" s="4">
        <f t="shared" si="7"/>
        <v>2306.8000000000002</v>
      </c>
      <c r="L77" s="5">
        <f>IF(K77&lt;'Параметры ПФ'!J$3+0.01,'Стандартные программы'!K77,ROUNDDOWN('Параметры ПФ'!J$3/IF(I77=0,J77,IF(J77&gt;I77,I77,J77)),0)*IF(I77=0,J77,IF(J77&gt;I77,I77,J77)))</f>
        <v>2306.8000000000002</v>
      </c>
      <c r="M77" s="4">
        <f t="shared" si="8"/>
        <v>115340</v>
      </c>
      <c r="N77" s="30">
        <f>IF(K77&lt;'Параметры ПФ'!J$3+0.01,E77*F77*G77,ROUNDDOWN('Параметры ПФ'!J$3/IF(I77=0,J77,IF(J77&gt;I77,I77,J77)),0)*G77)</f>
        <v>2000</v>
      </c>
      <c r="O77" s="25"/>
    </row>
    <row r="78" spans="1:15" x14ac:dyDescent="0.3">
      <c r="A78" s="94" t="s">
        <v>82</v>
      </c>
      <c r="B78" s="3" t="s">
        <v>147</v>
      </c>
      <c r="C78" s="121" t="s">
        <v>5</v>
      </c>
      <c r="D78" s="18">
        <v>36</v>
      </c>
      <c r="E78" s="18">
        <v>16</v>
      </c>
      <c r="F78" s="19">
        <v>2</v>
      </c>
      <c r="G78" s="19">
        <v>55</v>
      </c>
      <c r="H78" s="97">
        <f t="shared" si="6"/>
        <v>32</v>
      </c>
      <c r="I78" s="20">
        <v>108.6</v>
      </c>
      <c r="J78" s="4">
        <f>HLOOKUP($C78,'Параметры ПФ'!$F$8:$K$13,6,FALSE)</f>
        <v>57.67</v>
      </c>
      <c r="K78" s="4">
        <f t="shared" si="7"/>
        <v>1845.44</v>
      </c>
      <c r="L78" s="5">
        <f>IF(K78&lt;'Параметры ПФ'!J$3+0.01,'Стандартные программы'!K78,ROUNDDOWN('Параметры ПФ'!J$3/IF(I78=0,J78,IF(J78&gt;I78,I78,J78)),0)*IF(I78=0,J78,IF(J78&gt;I78,I78,J78)))</f>
        <v>1845.44</v>
      </c>
      <c r="M78" s="4">
        <f t="shared" si="8"/>
        <v>101499.2</v>
      </c>
      <c r="N78" s="30">
        <f>IF(K78&lt;'Параметры ПФ'!J$3+0.01,E78*F78*G78,ROUNDDOWN('Параметры ПФ'!J$3/IF(I78=0,J78,IF(J78&gt;I78,I78,J78)),0)*G78)</f>
        <v>1760</v>
      </c>
      <c r="O78" s="25"/>
    </row>
    <row r="79" spans="1:15" x14ac:dyDescent="0.3">
      <c r="A79" s="94" t="s">
        <v>82</v>
      </c>
      <c r="B79" s="96" t="s">
        <v>148</v>
      </c>
      <c r="C79" s="120" t="s">
        <v>3</v>
      </c>
      <c r="D79" s="102">
        <v>36</v>
      </c>
      <c r="E79" s="102">
        <v>20</v>
      </c>
      <c r="F79" s="103">
        <v>4</v>
      </c>
      <c r="G79" s="103">
        <v>15</v>
      </c>
      <c r="H79" s="97">
        <f t="shared" si="6"/>
        <v>80</v>
      </c>
      <c r="I79" s="20">
        <v>108.6</v>
      </c>
      <c r="J79" s="4">
        <f>HLOOKUP($C79,'Параметры ПФ'!$F$8:$K$13,6,FALSE)</f>
        <v>57.61</v>
      </c>
      <c r="K79" s="4">
        <f t="shared" si="7"/>
        <v>4608.8</v>
      </c>
      <c r="L79" s="5">
        <f>IF(K79&lt;'Параметры ПФ'!J$3+0.01,'Стандартные программы'!K79,ROUNDDOWN('Параметры ПФ'!J$3/IF(I79=0,J79,IF(J79&gt;I79,I79,J79)),0)*IF(I79=0,J79,IF(J79&gt;I79,I79,J79)))</f>
        <v>4608.8</v>
      </c>
      <c r="M79" s="4">
        <f t="shared" si="8"/>
        <v>69132</v>
      </c>
      <c r="N79" s="30">
        <f>IF(K79&lt;'Параметры ПФ'!J$3+0.01,E79*F79*G79,ROUNDDOWN('Параметры ПФ'!J$3/IF(I79=0,J79,IF(J79&gt;I79,I79,J79)),0)*G79)</f>
        <v>1200</v>
      </c>
      <c r="O79" s="25"/>
    </row>
    <row r="80" spans="1:15" x14ac:dyDescent="0.3">
      <c r="A80" s="94" t="s">
        <v>82</v>
      </c>
      <c r="B80" s="96" t="s">
        <v>148</v>
      </c>
      <c r="C80" s="120" t="s">
        <v>3</v>
      </c>
      <c r="D80" s="102">
        <v>36</v>
      </c>
      <c r="E80" s="102">
        <v>16</v>
      </c>
      <c r="F80" s="103">
        <v>4</v>
      </c>
      <c r="G80" s="103">
        <v>15</v>
      </c>
      <c r="H80" s="97">
        <f t="shared" si="6"/>
        <v>64</v>
      </c>
      <c r="I80" s="20">
        <v>108.6</v>
      </c>
      <c r="J80" s="4">
        <f>HLOOKUP($C80,'Параметры ПФ'!$F$8:$K$13,6,FALSE)</f>
        <v>57.61</v>
      </c>
      <c r="K80" s="4">
        <f t="shared" si="7"/>
        <v>3687.04</v>
      </c>
      <c r="L80" s="5">
        <f>IF(K80&lt;'Параметры ПФ'!J$3+0.01,'Стандартные программы'!K80,ROUNDDOWN('Параметры ПФ'!J$3/IF(I80=0,J80,IF(J80&gt;I80,I80,J80)),0)*IF(I80=0,J80,IF(J80&gt;I80,I80,J80)))</f>
        <v>3687.04</v>
      </c>
      <c r="M80" s="4">
        <f t="shared" si="8"/>
        <v>55305.599999999999</v>
      </c>
      <c r="N80" s="30">
        <f>IF(K80&lt;'Параметры ПФ'!J$3+0.01,E80*F80*G80,ROUNDDOWN('Параметры ПФ'!J$3/IF(I80=0,J80,IF(J80&gt;I80,I80,J80)),0)*G80)</f>
        <v>960</v>
      </c>
      <c r="O80" s="25"/>
    </row>
    <row r="81" spans="1:15" x14ac:dyDescent="0.3">
      <c r="A81" s="94" t="s">
        <v>82</v>
      </c>
      <c r="B81" s="3" t="s">
        <v>149</v>
      </c>
      <c r="C81" s="121" t="s">
        <v>3</v>
      </c>
      <c r="D81" s="18">
        <v>36</v>
      </c>
      <c r="E81" s="18">
        <v>20</v>
      </c>
      <c r="F81" s="19">
        <v>4</v>
      </c>
      <c r="G81" s="19">
        <v>16</v>
      </c>
      <c r="H81" s="97">
        <f t="shared" si="6"/>
        <v>80</v>
      </c>
      <c r="I81" s="20">
        <v>108.6</v>
      </c>
      <c r="J81" s="4">
        <f>HLOOKUP($C81,'Параметры ПФ'!$F$8:$K$13,6,FALSE)</f>
        <v>57.61</v>
      </c>
      <c r="K81" s="4">
        <f t="shared" si="7"/>
        <v>4608.8</v>
      </c>
      <c r="L81" s="5">
        <f>IF(K81&lt;'Параметры ПФ'!J$3+0.01,'Стандартные программы'!K81,ROUNDDOWN('Параметры ПФ'!J$3/IF(I81=0,J81,IF(J81&gt;I81,I81,J81)),0)*IF(I81=0,J81,IF(J81&gt;I81,I81,J81)))</f>
        <v>4608.8</v>
      </c>
      <c r="M81" s="4">
        <f t="shared" si="8"/>
        <v>73740.800000000003</v>
      </c>
      <c r="N81" s="30">
        <f>IF(K81&lt;'Параметры ПФ'!J$3+0.01,E81*F81*G81,ROUNDDOWN('Параметры ПФ'!J$3/IF(I81=0,J81,IF(J81&gt;I81,I81,J81)),0)*G81)</f>
        <v>1280</v>
      </c>
      <c r="O81" s="25"/>
    </row>
    <row r="82" spans="1:15" x14ac:dyDescent="0.3">
      <c r="A82" s="94" t="s">
        <v>82</v>
      </c>
      <c r="B82" s="3" t="s">
        <v>149</v>
      </c>
      <c r="C82" s="121" t="s">
        <v>3</v>
      </c>
      <c r="D82" s="18">
        <v>36</v>
      </c>
      <c r="E82" s="18">
        <v>16</v>
      </c>
      <c r="F82" s="19">
        <v>4</v>
      </c>
      <c r="G82" s="19">
        <v>16</v>
      </c>
      <c r="H82" s="97">
        <f t="shared" si="6"/>
        <v>64</v>
      </c>
      <c r="I82" s="20">
        <v>108.6</v>
      </c>
      <c r="J82" s="4">
        <f>HLOOKUP($C82,'Параметры ПФ'!$F$8:$K$13,6,FALSE)</f>
        <v>57.61</v>
      </c>
      <c r="K82" s="4">
        <f t="shared" si="7"/>
        <v>3687.04</v>
      </c>
      <c r="L82" s="5">
        <f>IF(K82&lt;'Параметры ПФ'!J$3+0.01,'Стандартные программы'!K82,ROUNDDOWN('Параметры ПФ'!J$3/IF(I82=0,J82,IF(J82&gt;I82,I82,J82)),0)*IF(I82=0,J82,IF(J82&gt;I82,I82,J82)))</f>
        <v>3687.04</v>
      </c>
      <c r="M82" s="4">
        <f t="shared" si="8"/>
        <v>58992.639999999999</v>
      </c>
      <c r="N82" s="30">
        <f>IF(K82&lt;'Параметры ПФ'!J$3+0.01,E82*F82*G82,ROUNDDOWN('Параметры ПФ'!J$3/IF(I82=0,J82,IF(J82&gt;I82,I82,J82)),0)*G82)</f>
        <v>1024</v>
      </c>
      <c r="O82" s="25"/>
    </row>
    <row r="83" spans="1:15" x14ac:dyDescent="0.3">
      <c r="A83" s="94" t="s">
        <v>82</v>
      </c>
      <c r="B83" s="96" t="s">
        <v>150</v>
      </c>
      <c r="C83" s="120" t="s">
        <v>3</v>
      </c>
      <c r="D83" s="102">
        <v>36</v>
      </c>
      <c r="E83" s="102">
        <v>20</v>
      </c>
      <c r="F83" s="103">
        <v>4</v>
      </c>
      <c r="G83" s="103">
        <v>16</v>
      </c>
      <c r="H83" s="97">
        <f t="shared" si="6"/>
        <v>80</v>
      </c>
      <c r="I83" s="20">
        <v>108.6</v>
      </c>
      <c r="J83" s="4">
        <f>HLOOKUP($C83,'Параметры ПФ'!$F$8:$K$13,6,FALSE)</f>
        <v>57.61</v>
      </c>
      <c r="K83" s="4">
        <f t="shared" si="7"/>
        <v>4608.8</v>
      </c>
      <c r="L83" s="5">
        <f>IF(K83&lt;'Параметры ПФ'!J$3+0.01,'Стандартные программы'!K83,ROUNDDOWN('Параметры ПФ'!J$3/IF(I83=0,J83,IF(J83&gt;I83,I83,J83)),0)*IF(I83=0,J83,IF(J83&gt;I83,I83,J83)))</f>
        <v>4608.8</v>
      </c>
      <c r="M83" s="4">
        <f t="shared" si="8"/>
        <v>73740.800000000003</v>
      </c>
      <c r="N83" s="30">
        <f>IF(K83&lt;'Параметры ПФ'!J$3+0.01,E83*F83*G83,ROUNDDOWN('Параметры ПФ'!J$3/IF(I83=0,J83,IF(J83&gt;I83,I83,J83)),0)*G83)</f>
        <v>1280</v>
      </c>
      <c r="O83" s="25"/>
    </row>
    <row r="84" spans="1:15" x14ac:dyDescent="0.3">
      <c r="A84" s="94" t="s">
        <v>82</v>
      </c>
      <c r="B84" s="96" t="s">
        <v>150</v>
      </c>
      <c r="C84" s="120" t="s">
        <v>3</v>
      </c>
      <c r="D84" s="102">
        <v>36</v>
      </c>
      <c r="E84" s="102">
        <v>16</v>
      </c>
      <c r="F84" s="103">
        <v>4</v>
      </c>
      <c r="G84" s="103">
        <v>16</v>
      </c>
      <c r="H84" s="97">
        <f t="shared" si="6"/>
        <v>64</v>
      </c>
      <c r="I84" s="20">
        <v>108.6</v>
      </c>
      <c r="J84" s="4">
        <f>HLOOKUP($C84,'Параметры ПФ'!$F$8:$K$13,6,FALSE)</f>
        <v>57.61</v>
      </c>
      <c r="K84" s="4">
        <f t="shared" si="7"/>
        <v>3687.04</v>
      </c>
      <c r="L84" s="5">
        <f>IF(K84&lt;'Параметры ПФ'!J$3+0.01,'Стандартные программы'!K84,ROUNDDOWN('Параметры ПФ'!J$3/IF(I84=0,J84,IF(J84&gt;I84,I84,J84)),0)*IF(I84=0,J84,IF(J84&gt;I84,I84,J84)))</f>
        <v>3687.04</v>
      </c>
      <c r="M84" s="4">
        <f t="shared" si="8"/>
        <v>58992.639999999999</v>
      </c>
      <c r="N84" s="30">
        <f>IF(K84&lt;'Параметры ПФ'!J$3+0.01,E84*F84*G84,ROUNDDOWN('Параметры ПФ'!J$3/IF(I84=0,J84,IF(J84&gt;I84,I84,J84)),0)*G84)</f>
        <v>1024</v>
      </c>
      <c r="O84" s="25"/>
    </row>
    <row r="85" spans="1:15" x14ac:dyDescent="0.3">
      <c r="A85" s="94" t="s">
        <v>82</v>
      </c>
      <c r="B85" s="3" t="s">
        <v>151</v>
      </c>
      <c r="C85" s="121" t="s">
        <v>3</v>
      </c>
      <c r="D85" s="18">
        <v>36</v>
      </c>
      <c r="E85" s="18">
        <v>20</v>
      </c>
      <c r="F85" s="19">
        <v>2</v>
      </c>
      <c r="G85" s="19">
        <v>17</v>
      </c>
      <c r="H85" s="97">
        <f t="shared" si="6"/>
        <v>40</v>
      </c>
      <c r="I85" s="20">
        <v>108.6</v>
      </c>
      <c r="J85" s="4">
        <f>HLOOKUP($C85,'Параметры ПФ'!$F$8:$K$13,6,FALSE)</f>
        <v>57.61</v>
      </c>
      <c r="K85" s="4">
        <f t="shared" si="7"/>
        <v>2304.4</v>
      </c>
      <c r="L85" s="5">
        <f>IF(K85&lt;'Параметры ПФ'!J$3+0.01,'Стандартные программы'!K85,ROUNDDOWN('Параметры ПФ'!J$3/IF(I85=0,J85,IF(J85&gt;I85,I85,J85)),0)*IF(I85=0,J85,IF(J85&gt;I85,I85,J85)))</f>
        <v>2304.4</v>
      </c>
      <c r="M85" s="4">
        <f t="shared" si="8"/>
        <v>39174.800000000003</v>
      </c>
      <c r="N85" s="30">
        <f>IF(K85&lt;'Параметры ПФ'!J$3+0.01,E85*F85*G85,ROUNDDOWN('Параметры ПФ'!J$3/IF(I85=0,J85,IF(J85&gt;I85,I85,J85)),0)*G85)</f>
        <v>680</v>
      </c>
      <c r="O85" s="25"/>
    </row>
    <row r="86" spans="1:15" x14ac:dyDescent="0.3">
      <c r="A86" s="94" t="s">
        <v>82</v>
      </c>
      <c r="B86" s="3" t="s">
        <v>152</v>
      </c>
      <c r="C86" s="121" t="s">
        <v>3</v>
      </c>
      <c r="D86" s="18">
        <v>36</v>
      </c>
      <c r="E86" s="18">
        <v>16</v>
      </c>
      <c r="F86" s="19">
        <v>2</v>
      </c>
      <c r="G86" s="19">
        <v>17</v>
      </c>
      <c r="H86" s="97">
        <f t="shared" si="6"/>
        <v>32</v>
      </c>
      <c r="I86" s="20">
        <v>108.6</v>
      </c>
      <c r="J86" s="4">
        <f>HLOOKUP($C86,'Параметры ПФ'!$F$8:$K$13,6,FALSE)</f>
        <v>57.61</v>
      </c>
      <c r="K86" s="4">
        <f t="shared" si="7"/>
        <v>1843.52</v>
      </c>
      <c r="L86" s="5">
        <f>IF(K86&lt;'Параметры ПФ'!J$3+0.01,'Стандартные программы'!K86,ROUNDDOWN('Параметры ПФ'!J$3/IF(I86=0,J86,IF(J86&gt;I86,I86,J86)),0)*IF(I86=0,J86,IF(J86&gt;I86,I86,J86)))</f>
        <v>1843.52</v>
      </c>
      <c r="M86" s="4">
        <f t="shared" si="8"/>
        <v>31339.84</v>
      </c>
      <c r="N86" s="30">
        <f>IF(K86&lt;'Параметры ПФ'!J$3+0.01,E86*F86*G86,ROUNDDOWN('Параметры ПФ'!J$3/IF(I86=0,J86,IF(J86&gt;I86,I86,J86)),0)*G86)</f>
        <v>544</v>
      </c>
      <c r="O86" s="25"/>
    </row>
    <row r="87" spans="1:15" x14ac:dyDescent="0.3">
      <c r="A87" s="94" t="s">
        <v>82</v>
      </c>
      <c r="B87" s="96" t="s">
        <v>152</v>
      </c>
      <c r="C87" s="120" t="s">
        <v>3</v>
      </c>
      <c r="D87" s="102">
        <v>36</v>
      </c>
      <c r="E87" s="102">
        <v>20</v>
      </c>
      <c r="F87" s="103">
        <v>2</v>
      </c>
      <c r="G87" s="103">
        <v>17</v>
      </c>
      <c r="H87" s="97">
        <f t="shared" si="6"/>
        <v>40</v>
      </c>
      <c r="I87" s="20">
        <v>108.6</v>
      </c>
      <c r="J87" s="4">
        <f>HLOOKUP($C87,'Параметры ПФ'!$F$8:$K$13,6,FALSE)</f>
        <v>57.61</v>
      </c>
      <c r="K87" s="4">
        <f t="shared" si="7"/>
        <v>2304.4</v>
      </c>
      <c r="L87" s="5">
        <f>IF(K87&lt;'Параметры ПФ'!J$3+0.01,'Стандартные программы'!K87,ROUNDDOWN('Параметры ПФ'!J$3/IF(I87=0,J87,IF(J87&gt;I87,I87,J87)),0)*IF(I87=0,J87,IF(J87&gt;I87,I87,J87)))</f>
        <v>2304.4</v>
      </c>
      <c r="M87" s="4">
        <f t="shared" si="8"/>
        <v>39174.800000000003</v>
      </c>
      <c r="N87" s="30">
        <f>IF(K87&lt;'Параметры ПФ'!J$3+0.01,E87*F87*G87,ROUNDDOWN('Параметры ПФ'!J$3/IF(I87=0,J87,IF(J87&gt;I87,I87,J87)),0)*G87)</f>
        <v>680</v>
      </c>
      <c r="O87" s="25"/>
    </row>
    <row r="88" spans="1:15" x14ac:dyDescent="0.3">
      <c r="A88" s="94" t="s">
        <v>82</v>
      </c>
      <c r="B88" s="96" t="s">
        <v>153</v>
      </c>
      <c r="C88" s="120" t="s">
        <v>3</v>
      </c>
      <c r="D88" s="102">
        <v>36</v>
      </c>
      <c r="E88" s="102">
        <v>16</v>
      </c>
      <c r="F88" s="103">
        <v>2</v>
      </c>
      <c r="G88" s="103">
        <v>17</v>
      </c>
      <c r="H88" s="97">
        <f t="shared" si="6"/>
        <v>32</v>
      </c>
      <c r="I88" s="20">
        <v>108.6</v>
      </c>
      <c r="J88" s="4">
        <f>HLOOKUP($C88,'Параметры ПФ'!$F$8:$K$13,6,FALSE)</f>
        <v>57.61</v>
      </c>
      <c r="K88" s="4">
        <f t="shared" si="7"/>
        <v>1843.52</v>
      </c>
      <c r="L88" s="5">
        <f>IF(K88&lt;'Параметры ПФ'!J$3+0.01,'Стандартные программы'!K88,ROUNDDOWN('Параметры ПФ'!J$3/IF(I88=0,J88,IF(J88&gt;I88,I88,J88)),0)*IF(I88=0,J88,IF(J88&gt;I88,I88,J88)))</f>
        <v>1843.52</v>
      </c>
      <c r="M88" s="4">
        <f t="shared" si="8"/>
        <v>31339.84</v>
      </c>
      <c r="N88" s="30">
        <f>IF(K88&lt;'Параметры ПФ'!J$3+0.01,E88*F88*G88,ROUNDDOWN('Параметры ПФ'!J$3/IF(I88=0,J88,IF(J88&gt;I88,I88,J88)),0)*G88)</f>
        <v>544</v>
      </c>
      <c r="O88" s="25"/>
    </row>
    <row r="89" spans="1:15" x14ac:dyDescent="0.3">
      <c r="A89" s="94" t="s">
        <v>82</v>
      </c>
      <c r="B89" s="3" t="s">
        <v>153</v>
      </c>
      <c r="C89" s="121" t="s">
        <v>3</v>
      </c>
      <c r="D89" s="18">
        <v>36</v>
      </c>
      <c r="E89" s="18">
        <v>20</v>
      </c>
      <c r="F89" s="19">
        <v>2</v>
      </c>
      <c r="G89" s="19">
        <v>17</v>
      </c>
      <c r="H89" s="97">
        <f t="shared" si="6"/>
        <v>40</v>
      </c>
      <c r="I89" s="20">
        <v>108.6</v>
      </c>
      <c r="J89" s="4">
        <f>HLOOKUP($C89,'Параметры ПФ'!$F$8:$K$13,6,FALSE)</f>
        <v>57.61</v>
      </c>
      <c r="K89" s="4">
        <f t="shared" si="7"/>
        <v>2304.4</v>
      </c>
      <c r="L89" s="5">
        <f>IF(K89&lt;'Параметры ПФ'!J$3+0.01,'Стандартные программы'!K89,ROUNDDOWN('Параметры ПФ'!J$3/IF(I89=0,J89,IF(J89&gt;I89,I89,J89)),0)*IF(I89=0,J89,IF(J89&gt;I89,I89,J89)))</f>
        <v>2304.4</v>
      </c>
      <c r="M89" s="4">
        <f t="shared" si="8"/>
        <v>39174.800000000003</v>
      </c>
      <c r="N89" s="30">
        <f>IF(K89&lt;'Параметры ПФ'!J$3+0.01,E89*F89*G89,ROUNDDOWN('Параметры ПФ'!J$3/IF(I89=0,J89,IF(J89&gt;I89,I89,J89)),0)*G89)</f>
        <v>680</v>
      </c>
      <c r="O89" s="25"/>
    </row>
    <row r="90" spans="1:15" x14ac:dyDescent="0.3">
      <c r="A90" s="94" t="s">
        <v>82</v>
      </c>
      <c r="B90" s="3" t="s">
        <v>154</v>
      </c>
      <c r="C90" s="121" t="s">
        <v>3</v>
      </c>
      <c r="D90" s="18">
        <v>36</v>
      </c>
      <c r="E90" s="18">
        <v>16</v>
      </c>
      <c r="F90" s="19">
        <v>2</v>
      </c>
      <c r="G90" s="19">
        <v>17</v>
      </c>
      <c r="H90" s="97">
        <f t="shared" si="6"/>
        <v>32</v>
      </c>
      <c r="I90" s="20">
        <v>108.6</v>
      </c>
      <c r="J90" s="4">
        <f>HLOOKUP($C90,'Параметры ПФ'!$F$8:$K$13,6,FALSE)</f>
        <v>57.61</v>
      </c>
      <c r="K90" s="4">
        <f t="shared" si="7"/>
        <v>1843.52</v>
      </c>
      <c r="L90" s="5">
        <f>IF(K90&lt;'Параметры ПФ'!J$3+0.01,'Стандартные программы'!K90,ROUNDDOWN('Параметры ПФ'!J$3/IF(I90=0,J90,IF(J90&gt;I90,I90,J90)),0)*IF(I90=0,J90,IF(J90&gt;I90,I90,J90)))</f>
        <v>1843.52</v>
      </c>
      <c r="M90" s="4">
        <f t="shared" si="8"/>
        <v>31339.84</v>
      </c>
      <c r="N90" s="30">
        <f>IF(K90&lt;'Параметры ПФ'!J$3+0.01,E90*F90*G90,ROUNDDOWN('Параметры ПФ'!J$3/IF(I90=0,J90,IF(J90&gt;I90,I90,J90)),0)*G90)</f>
        <v>544</v>
      </c>
      <c r="O90" s="25"/>
    </row>
    <row r="91" spans="1:15" x14ac:dyDescent="0.3">
      <c r="A91" s="94" t="s">
        <v>82</v>
      </c>
      <c r="B91" s="96" t="s">
        <v>154</v>
      </c>
      <c r="C91" s="120" t="s">
        <v>3</v>
      </c>
      <c r="D91" s="102">
        <v>36</v>
      </c>
      <c r="E91" s="102">
        <v>20</v>
      </c>
      <c r="F91" s="103">
        <v>2</v>
      </c>
      <c r="G91" s="103">
        <v>17</v>
      </c>
      <c r="H91" s="97">
        <f t="shared" si="6"/>
        <v>40</v>
      </c>
      <c r="I91" s="20">
        <v>108.6</v>
      </c>
      <c r="J91" s="4">
        <f>HLOOKUP($C91,'Параметры ПФ'!$F$8:$K$13,6,FALSE)</f>
        <v>57.61</v>
      </c>
      <c r="K91" s="4">
        <f t="shared" si="7"/>
        <v>2304.4</v>
      </c>
      <c r="L91" s="5">
        <f>IF(K91&lt;'Параметры ПФ'!J$3+0.01,'Стандартные программы'!K91,ROUNDDOWN('Параметры ПФ'!J$3/IF(I91=0,J91,IF(J91&gt;I91,I91,J91)),0)*IF(I91=0,J91,IF(J91&gt;I91,I91,J91)))</f>
        <v>2304.4</v>
      </c>
      <c r="M91" s="4">
        <f t="shared" si="8"/>
        <v>39174.800000000003</v>
      </c>
      <c r="N91" s="30">
        <f>IF(K91&lt;'Параметры ПФ'!J$3+0.01,E91*F91*G91,ROUNDDOWN('Параметры ПФ'!J$3/IF(I91=0,J91,IF(J91&gt;I91,I91,J91)),0)*G91)</f>
        <v>680</v>
      </c>
      <c r="O91" s="25"/>
    </row>
    <row r="92" spans="1:15" x14ac:dyDescent="0.3">
      <c r="A92" s="94" t="s">
        <v>82</v>
      </c>
      <c r="B92" s="96" t="s">
        <v>151</v>
      </c>
      <c r="C92" s="120" t="s">
        <v>3</v>
      </c>
      <c r="D92" s="102">
        <v>36</v>
      </c>
      <c r="E92" s="102">
        <v>16</v>
      </c>
      <c r="F92" s="103">
        <v>2</v>
      </c>
      <c r="G92" s="103">
        <v>17</v>
      </c>
      <c r="H92" s="97">
        <f t="shared" si="6"/>
        <v>32</v>
      </c>
      <c r="I92" s="20">
        <v>108.6</v>
      </c>
      <c r="J92" s="4">
        <f>HLOOKUP($C92,'Параметры ПФ'!$F$8:$K$13,6,FALSE)</f>
        <v>57.61</v>
      </c>
      <c r="K92" s="4">
        <f t="shared" si="7"/>
        <v>1843.52</v>
      </c>
      <c r="L92" s="5">
        <f>IF(K92&lt;'Параметры ПФ'!J$3+0.01,'Стандартные программы'!K92,ROUNDDOWN('Параметры ПФ'!J$3/IF(I92=0,J92,IF(J92&gt;I92,I92,J92)),0)*IF(I92=0,J92,IF(J92&gt;I92,I92,J92)))</f>
        <v>1843.52</v>
      </c>
      <c r="M92" s="4">
        <f t="shared" si="8"/>
        <v>31339.84</v>
      </c>
      <c r="N92" s="30">
        <f>IF(K92&lt;'Параметры ПФ'!J$3+0.01,E92*F92*G92,ROUNDDOWN('Параметры ПФ'!J$3/IF(I92=0,J92,IF(J92&gt;I92,I92,J92)),0)*G92)</f>
        <v>544</v>
      </c>
      <c r="O92" s="25"/>
    </row>
    <row r="93" spans="1:15" x14ac:dyDescent="0.3">
      <c r="A93" s="94" t="s">
        <v>82</v>
      </c>
      <c r="B93" s="3" t="s">
        <v>155</v>
      </c>
      <c r="C93" s="121" t="s">
        <v>3</v>
      </c>
      <c r="D93" s="18">
        <v>36</v>
      </c>
      <c r="E93" s="18">
        <v>20</v>
      </c>
      <c r="F93" s="19">
        <v>4</v>
      </c>
      <c r="G93" s="19">
        <v>30</v>
      </c>
      <c r="H93" s="97">
        <f t="shared" si="6"/>
        <v>80</v>
      </c>
      <c r="I93" s="20">
        <v>108.6</v>
      </c>
      <c r="J93" s="4">
        <f>HLOOKUP($C93,'Параметры ПФ'!$F$8:$K$13,6,FALSE)</f>
        <v>57.61</v>
      </c>
      <c r="K93" s="4">
        <f t="shared" si="7"/>
        <v>4608.8</v>
      </c>
      <c r="L93" s="5">
        <f>IF(K93&lt;'Параметры ПФ'!J$3+0.01,'Стандартные программы'!K93,ROUNDDOWN('Параметры ПФ'!J$3/IF(I93=0,J93,IF(J93&gt;I93,I93,J93)),0)*IF(I93=0,J93,IF(J93&gt;I93,I93,J93)))</f>
        <v>4608.8</v>
      </c>
      <c r="M93" s="4">
        <f t="shared" si="8"/>
        <v>138264</v>
      </c>
      <c r="N93" s="30">
        <f>IF(K93&lt;'Параметры ПФ'!J$3+0.01,E93*F93*G93,ROUNDDOWN('Параметры ПФ'!J$3/IF(I93=0,J93,IF(J93&gt;I93,I93,J93)),0)*G93)</f>
        <v>2400</v>
      </c>
      <c r="O93" s="25"/>
    </row>
    <row r="94" spans="1:15" x14ac:dyDescent="0.3">
      <c r="A94" s="94" t="s">
        <v>82</v>
      </c>
      <c r="B94" s="3" t="s">
        <v>155</v>
      </c>
      <c r="C94" s="121" t="s">
        <v>3</v>
      </c>
      <c r="D94" s="18">
        <v>36</v>
      </c>
      <c r="E94" s="18">
        <v>16</v>
      </c>
      <c r="F94" s="19">
        <v>4</v>
      </c>
      <c r="G94" s="19">
        <v>30</v>
      </c>
      <c r="H94" s="97">
        <f t="shared" si="6"/>
        <v>64</v>
      </c>
      <c r="I94" s="20">
        <v>108.6</v>
      </c>
      <c r="J94" s="4">
        <f>HLOOKUP($C94,'Параметры ПФ'!$F$8:$K$13,6,FALSE)</f>
        <v>57.61</v>
      </c>
      <c r="K94" s="4">
        <f t="shared" si="7"/>
        <v>3687.04</v>
      </c>
      <c r="L94" s="5">
        <f>IF(K94&lt;'Параметры ПФ'!J$3+0.01,'Стандартные программы'!K94,ROUNDDOWN('Параметры ПФ'!J$3/IF(I94=0,J94,IF(J94&gt;I94,I94,J94)),0)*IF(I94=0,J94,IF(J94&gt;I94,I94,J94)))</f>
        <v>3687.04</v>
      </c>
      <c r="M94" s="4">
        <f t="shared" si="8"/>
        <v>110611.2</v>
      </c>
      <c r="N94" s="30">
        <f>IF(K94&lt;'Параметры ПФ'!J$3+0.01,E94*F94*G94,ROUNDDOWN('Параметры ПФ'!J$3/IF(I94=0,J94,IF(J94&gt;I94,I94,J94)),0)*G94)</f>
        <v>1920</v>
      </c>
      <c r="O94" s="25"/>
    </row>
    <row r="95" spans="1:15" x14ac:dyDescent="0.3">
      <c r="A95" s="94" t="s">
        <v>82</v>
      </c>
      <c r="B95" s="96" t="s">
        <v>156</v>
      </c>
      <c r="C95" s="120" t="s">
        <v>3</v>
      </c>
      <c r="D95" s="102">
        <v>36</v>
      </c>
      <c r="E95" s="102">
        <v>20</v>
      </c>
      <c r="F95" s="103">
        <v>4</v>
      </c>
      <c r="G95" s="103">
        <v>16</v>
      </c>
      <c r="H95" s="97">
        <f t="shared" si="6"/>
        <v>80</v>
      </c>
      <c r="I95" s="20">
        <v>108.6</v>
      </c>
      <c r="J95" s="4">
        <f>HLOOKUP($C95,'Параметры ПФ'!$F$8:$K$13,6,FALSE)</f>
        <v>57.61</v>
      </c>
      <c r="K95" s="4">
        <f t="shared" si="7"/>
        <v>4608.8</v>
      </c>
      <c r="L95" s="5">
        <f>IF(K95&lt;'Параметры ПФ'!J$3+0.01,'Стандартные программы'!K95,ROUNDDOWN('Параметры ПФ'!J$3/IF(I95=0,J95,IF(J95&gt;I95,I95,J95)),0)*IF(I95=0,J95,IF(J95&gt;I95,I95,J95)))</f>
        <v>4608.8</v>
      </c>
      <c r="M95" s="4">
        <f t="shared" si="8"/>
        <v>73740.800000000003</v>
      </c>
      <c r="N95" s="30">
        <f>IF(K95&lt;'Параметры ПФ'!J$3+0.01,E95*F95*G95,ROUNDDOWN('Параметры ПФ'!J$3/IF(I95=0,J95,IF(J95&gt;I95,I95,J95)),0)*G95)</f>
        <v>1280</v>
      </c>
      <c r="O95" s="25"/>
    </row>
    <row r="96" spans="1:15" x14ac:dyDescent="0.3">
      <c r="A96" s="94" t="s">
        <v>82</v>
      </c>
      <c r="B96" s="96" t="s">
        <v>156</v>
      </c>
      <c r="C96" s="120" t="s">
        <v>3</v>
      </c>
      <c r="D96" s="102">
        <v>36</v>
      </c>
      <c r="E96" s="102">
        <v>16</v>
      </c>
      <c r="F96" s="103">
        <v>4</v>
      </c>
      <c r="G96" s="103">
        <v>17</v>
      </c>
      <c r="H96" s="97">
        <f t="shared" si="6"/>
        <v>64</v>
      </c>
      <c r="I96" s="20">
        <v>108.6</v>
      </c>
      <c r="J96" s="4">
        <f>HLOOKUP($C96,'Параметры ПФ'!$F$8:$K$13,6,FALSE)</f>
        <v>57.61</v>
      </c>
      <c r="K96" s="4">
        <f t="shared" si="7"/>
        <v>3687.04</v>
      </c>
      <c r="L96" s="5">
        <f>IF(K96&lt;'Параметры ПФ'!J$3+0.01,'Стандартные программы'!K96,ROUNDDOWN('Параметры ПФ'!J$3/IF(I96=0,J96,IF(J96&gt;I96,I96,J96)),0)*IF(I96=0,J96,IF(J96&gt;I96,I96,J96)))</f>
        <v>3687.04</v>
      </c>
      <c r="M96" s="4">
        <f t="shared" si="8"/>
        <v>62679.68</v>
      </c>
      <c r="N96" s="30">
        <f>IF(K96&lt;'Параметры ПФ'!J$3+0.01,E96*F96*G96,ROUNDDOWN('Параметры ПФ'!J$3/IF(I96=0,J96,IF(J96&gt;I96,I96,J96)),0)*G96)</f>
        <v>1088</v>
      </c>
      <c r="O96" s="25"/>
    </row>
    <row r="97" spans="1:15" x14ac:dyDescent="0.3">
      <c r="A97" s="94" t="s">
        <v>82</v>
      </c>
      <c r="B97" s="3" t="s">
        <v>157</v>
      </c>
      <c r="C97" s="121" t="s">
        <v>3</v>
      </c>
      <c r="D97" s="18">
        <v>36</v>
      </c>
      <c r="E97" s="18">
        <v>20</v>
      </c>
      <c r="F97" s="19">
        <v>4</v>
      </c>
      <c r="G97" s="134">
        <f>16+30</f>
        <v>46</v>
      </c>
      <c r="H97" s="97">
        <f t="shared" si="6"/>
        <v>80</v>
      </c>
      <c r="I97" s="20">
        <v>108.6</v>
      </c>
      <c r="J97" s="4">
        <f>HLOOKUP($C97,'Параметры ПФ'!$F$8:$K$13,6,FALSE)</f>
        <v>57.61</v>
      </c>
      <c r="K97" s="4">
        <f t="shared" si="7"/>
        <v>4608.8</v>
      </c>
      <c r="L97" s="5">
        <f>IF(K97&lt;'Параметры ПФ'!J$3+0.01,'Стандартные программы'!K97,ROUNDDOWN('Параметры ПФ'!J$3/IF(I97=0,J97,IF(J97&gt;I97,I97,J97)),0)*IF(I97=0,J97,IF(J97&gt;I97,I97,J97)))</f>
        <v>4608.8</v>
      </c>
      <c r="M97" s="4">
        <f t="shared" si="8"/>
        <v>212004.8</v>
      </c>
      <c r="N97" s="30">
        <f>IF(K97&lt;'Параметры ПФ'!J$3+0.01,E97*F97*G97,ROUNDDOWN('Параметры ПФ'!J$3/IF(I97=0,J97,IF(J97&gt;I97,I97,J97)),0)*G97)</f>
        <v>3680</v>
      </c>
      <c r="O97" s="25"/>
    </row>
    <row r="98" spans="1:15" x14ac:dyDescent="0.3">
      <c r="A98" s="94" t="s">
        <v>82</v>
      </c>
      <c r="B98" s="3" t="s">
        <v>157</v>
      </c>
      <c r="C98" s="121" t="s">
        <v>3</v>
      </c>
      <c r="D98" s="18">
        <v>36</v>
      </c>
      <c r="E98" s="18">
        <v>16</v>
      </c>
      <c r="F98" s="19">
        <v>4</v>
      </c>
      <c r="G98" s="134">
        <f>17+30</f>
        <v>47</v>
      </c>
      <c r="H98" s="97">
        <f t="shared" si="6"/>
        <v>64</v>
      </c>
      <c r="I98" s="20">
        <v>108.6</v>
      </c>
      <c r="J98" s="4">
        <f>HLOOKUP($C98,'Параметры ПФ'!$F$8:$K$13,6,FALSE)</f>
        <v>57.61</v>
      </c>
      <c r="K98" s="4">
        <f t="shared" si="7"/>
        <v>3687.04</v>
      </c>
      <c r="L98" s="5">
        <f>IF(K98&lt;'Параметры ПФ'!J$3+0.01,'Стандартные программы'!K98,ROUNDDOWN('Параметры ПФ'!J$3/IF(I98=0,J98,IF(J98&gt;I98,I98,J98)),0)*IF(I98=0,J98,IF(J98&gt;I98,I98,J98)))</f>
        <v>3687.04</v>
      </c>
      <c r="M98" s="4">
        <f t="shared" si="8"/>
        <v>173290.88</v>
      </c>
      <c r="N98" s="30">
        <f>IF(K98&lt;'Параметры ПФ'!J$3+0.01,E98*F98*G98,ROUNDDOWN('Параметры ПФ'!J$3/IF(I98=0,J98,IF(J98&gt;I98,I98,J98)),0)*G98)</f>
        <v>3008</v>
      </c>
      <c r="O98" s="25"/>
    </row>
    <row r="99" spans="1:15" x14ac:dyDescent="0.3">
      <c r="A99" s="94" t="s">
        <v>82</v>
      </c>
      <c r="B99" s="96" t="s">
        <v>158</v>
      </c>
      <c r="C99" s="120" t="s">
        <v>3</v>
      </c>
      <c r="D99" s="102">
        <v>36</v>
      </c>
      <c r="E99" s="102">
        <v>20</v>
      </c>
      <c r="F99" s="103">
        <v>2</v>
      </c>
      <c r="G99" s="103">
        <v>50</v>
      </c>
      <c r="H99" s="97">
        <f t="shared" si="6"/>
        <v>40</v>
      </c>
      <c r="I99" s="20">
        <v>108.6</v>
      </c>
      <c r="J99" s="4">
        <f>HLOOKUP($C99,'Параметры ПФ'!$F$8:$K$13,6,FALSE)</f>
        <v>57.61</v>
      </c>
      <c r="K99" s="4">
        <f t="shared" si="7"/>
        <v>2304.4</v>
      </c>
      <c r="L99" s="5">
        <f>IF(K99&lt;'Параметры ПФ'!J$3+0.01,'Стандартные программы'!K99,ROUNDDOWN('Параметры ПФ'!J$3/IF(I99=0,J99,IF(J99&gt;I99,I99,J99)),0)*IF(I99=0,J99,IF(J99&gt;I99,I99,J99)))</f>
        <v>2304.4</v>
      </c>
      <c r="M99" s="4">
        <f t="shared" si="8"/>
        <v>115220</v>
      </c>
      <c r="N99" s="30">
        <f>IF(K99&lt;'Параметры ПФ'!J$3+0.01,E99*F99*G99,ROUNDDOWN('Параметры ПФ'!J$3/IF(I99=0,J99,IF(J99&gt;I99,I99,J99)),0)*G99)</f>
        <v>2000</v>
      </c>
      <c r="O99" s="25"/>
    </row>
    <row r="100" spans="1:15" x14ac:dyDescent="0.3">
      <c r="A100" s="94" t="s">
        <v>82</v>
      </c>
      <c r="B100" s="96" t="s">
        <v>158</v>
      </c>
      <c r="C100" s="120" t="s">
        <v>3</v>
      </c>
      <c r="D100" s="102">
        <v>36</v>
      </c>
      <c r="E100" s="102">
        <v>16</v>
      </c>
      <c r="F100" s="103">
        <v>2</v>
      </c>
      <c r="G100" s="103">
        <v>60</v>
      </c>
      <c r="H100" s="97">
        <f t="shared" si="6"/>
        <v>32</v>
      </c>
      <c r="I100" s="20">
        <v>108.6</v>
      </c>
      <c r="J100" s="4">
        <f>HLOOKUP($C100,'Параметры ПФ'!$F$8:$K$13,6,FALSE)</f>
        <v>57.61</v>
      </c>
      <c r="K100" s="4">
        <f t="shared" si="7"/>
        <v>1843.52</v>
      </c>
      <c r="L100" s="5">
        <f>IF(K100&lt;'Параметры ПФ'!J$3+0.01,'Стандартные программы'!K100,ROUNDDOWN('Параметры ПФ'!J$3/IF(I100=0,J100,IF(J100&gt;I100,I100,J100)),0)*IF(I100=0,J100,IF(J100&gt;I100,I100,J100)))</f>
        <v>1843.52</v>
      </c>
      <c r="M100" s="4">
        <f t="shared" si="8"/>
        <v>110611.2</v>
      </c>
      <c r="N100" s="30">
        <f>IF(K100&lt;'Параметры ПФ'!J$3+0.01,E100*F100*G100,ROUNDDOWN('Параметры ПФ'!J$3/IF(I100=0,J100,IF(J100&gt;I100,I100,J100)),0)*G100)</f>
        <v>1920</v>
      </c>
      <c r="O100" s="25"/>
    </row>
    <row r="101" spans="1:15" x14ac:dyDescent="0.3">
      <c r="A101" s="94" t="s">
        <v>82</v>
      </c>
      <c r="B101" s="3" t="s">
        <v>159</v>
      </c>
      <c r="C101" s="121" t="s">
        <v>3</v>
      </c>
      <c r="D101" s="18">
        <v>36</v>
      </c>
      <c r="E101" s="18">
        <v>20</v>
      </c>
      <c r="F101" s="19">
        <v>4</v>
      </c>
      <c r="G101" s="134">
        <f>16+30</f>
        <v>46</v>
      </c>
      <c r="H101" s="97">
        <f t="shared" si="6"/>
        <v>80</v>
      </c>
      <c r="I101" s="20">
        <v>108.6</v>
      </c>
      <c r="J101" s="4">
        <f>HLOOKUP($C101,'Параметры ПФ'!$F$8:$K$13,6,FALSE)</f>
        <v>57.61</v>
      </c>
      <c r="K101" s="4">
        <f t="shared" si="7"/>
        <v>4608.8</v>
      </c>
      <c r="L101" s="5">
        <f>IF(K101&lt;'Параметры ПФ'!J$3+0.01,'Стандартные программы'!K101,ROUNDDOWN('Параметры ПФ'!J$3/IF(I101=0,J101,IF(J101&gt;I101,I101,J101)),0)*IF(I101=0,J101,IF(J101&gt;I101,I101,J101)))</f>
        <v>4608.8</v>
      </c>
      <c r="M101" s="4">
        <f t="shared" si="8"/>
        <v>212004.8</v>
      </c>
      <c r="N101" s="30">
        <f>IF(K101&lt;'Параметры ПФ'!J$3+0.01,E101*F101*G101,ROUNDDOWN('Параметры ПФ'!J$3/IF(I101=0,J101,IF(J101&gt;I101,I101,J101)),0)*G101)</f>
        <v>3680</v>
      </c>
      <c r="O101" s="25"/>
    </row>
    <row r="102" spans="1:15" x14ac:dyDescent="0.3">
      <c r="A102" s="94" t="s">
        <v>82</v>
      </c>
      <c r="B102" s="3" t="s">
        <v>159</v>
      </c>
      <c r="C102" s="121" t="s">
        <v>3</v>
      </c>
      <c r="D102" s="18">
        <v>36</v>
      </c>
      <c r="E102" s="18">
        <v>16</v>
      </c>
      <c r="F102" s="19">
        <v>4</v>
      </c>
      <c r="G102" s="134">
        <f>16+30</f>
        <v>46</v>
      </c>
      <c r="H102" s="97">
        <f t="shared" si="6"/>
        <v>64</v>
      </c>
      <c r="I102" s="20">
        <v>108.6</v>
      </c>
      <c r="J102" s="4">
        <f>HLOOKUP($C102,'Параметры ПФ'!$F$8:$K$13,6,FALSE)</f>
        <v>57.61</v>
      </c>
      <c r="K102" s="4">
        <f t="shared" si="7"/>
        <v>3687.04</v>
      </c>
      <c r="L102" s="5">
        <f>IF(K102&lt;'Параметры ПФ'!J$3+0.01,'Стандартные программы'!K102,ROUNDDOWN('Параметры ПФ'!J$3/IF(I102=0,J102,IF(J102&gt;I102,I102,J102)),0)*IF(I102=0,J102,IF(J102&gt;I102,I102,J102)))</f>
        <v>3687.04</v>
      </c>
      <c r="M102" s="4">
        <f t="shared" si="8"/>
        <v>169603.84</v>
      </c>
      <c r="N102" s="30">
        <f>IF(K102&lt;'Параметры ПФ'!J$3+0.01,E102*F102*G102,ROUNDDOWN('Параметры ПФ'!J$3/IF(I102=0,J102,IF(J102&gt;I102,I102,J102)),0)*G102)</f>
        <v>2944</v>
      </c>
      <c r="O102" s="25"/>
    </row>
    <row r="103" spans="1:15" x14ac:dyDescent="0.3">
      <c r="A103" s="94" t="s">
        <v>82</v>
      </c>
      <c r="B103" s="96" t="s">
        <v>160</v>
      </c>
      <c r="C103" s="120" t="s">
        <v>3</v>
      </c>
      <c r="D103" s="102">
        <v>36</v>
      </c>
      <c r="E103" s="102">
        <v>16</v>
      </c>
      <c r="F103" s="103">
        <v>4</v>
      </c>
      <c r="G103" s="135">
        <f>18+20</f>
        <v>38</v>
      </c>
      <c r="H103" s="97">
        <f t="shared" si="6"/>
        <v>64</v>
      </c>
      <c r="I103" s="20">
        <v>108.6</v>
      </c>
      <c r="J103" s="4">
        <f>HLOOKUP($C103,'Параметры ПФ'!$F$8:$K$13,6,FALSE)</f>
        <v>57.61</v>
      </c>
      <c r="K103" s="4">
        <f t="shared" si="7"/>
        <v>3687.04</v>
      </c>
      <c r="L103" s="5">
        <f>IF(K103&lt;'Параметры ПФ'!J$3+0.01,'Стандартные программы'!K103,ROUNDDOWN('Параметры ПФ'!J$3/IF(I103=0,J103,IF(J103&gt;I103,I103,J103)),0)*IF(I103=0,J103,IF(J103&gt;I103,I103,J103)))</f>
        <v>3687.04</v>
      </c>
      <c r="M103" s="4">
        <f t="shared" si="8"/>
        <v>140107.51999999999</v>
      </c>
      <c r="N103" s="30">
        <f>IF(K103&lt;'Параметры ПФ'!J$3+0.01,E103*F103*G103,ROUNDDOWN('Параметры ПФ'!J$3/IF(I103=0,J103,IF(J103&gt;I103,I103,J103)),0)*G103)</f>
        <v>2432</v>
      </c>
      <c r="O103" s="25"/>
    </row>
    <row r="104" spans="1:15" x14ac:dyDescent="0.3">
      <c r="A104" s="94" t="s">
        <v>82</v>
      </c>
      <c r="B104" s="96" t="s">
        <v>161</v>
      </c>
      <c r="C104" s="120" t="s">
        <v>43</v>
      </c>
      <c r="D104" s="102">
        <v>36</v>
      </c>
      <c r="E104" s="102">
        <v>20</v>
      </c>
      <c r="F104" s="103">
        <v>4</v>
      </c>
      <c r="G104" s="103">
        <v>30</v>
      </c>
      <c r="H104" s="97">
        <f t="shared" si="6"/>
        <v>80</v>
      </c>
      <c r="I104" s="20">
        <v>108.6</v>
      </c>
      <c r="J104" s="4">
        <f>HLOOKUP($C104,'Параметры ПФ'!$F$8:$K$13,6,FALSE)</f>
        <v>56.35</v>
      </c>
      <c r="K104" s="4">
        <f t="shared" si="7"/>
        <v>4508</v>
      </c>
      <c r="L104" s="5">
        <f>IF(K104&lt;'Параметры ПФ'!J$3+0.01,'Стандартные программы'!K104,ROUNDDOWN('Параметры ПФ'!J$3/IF(I104=0,J104,IF(J104&gt;I104,I104,J104)),0)*IF(I104=0,J104,IF(J104&gt;I104,I104,J104)))</f>
        <v>4508</v>
      </c>
      <c r="M104" s="4">
        <f t="shared" si="8"/>
        <v>135240</v>
      </c>
      <c r="N104" s="30">
        <f>IF(K104&lt;'Параметры ПФ'!J$3+0.01,E104*F104*G104,ROUNDDOWN('Параметры ПФ'!J$3/IF(I104=0,J104,IF(J104&gt;I104,I104,J104)),0)*G104)</f>
        <v>2400</v>
      </c>
      <c r="O104" s="25"/>
    </row>
    <row r="105" spans="1:15" x14ac:dyDescent="0.3">
      <c r="A105" s="94" t="s">
        <v>82</v>
      </c>
      <c r="B105" s="96" t="s">
        <v>161</v>
      </c>
      <c r="C105" s="120" t="s">
        <v>43</v>
      </c>
      <c r="D105" s="102">
        <v>36</v>
      </c>
      <c r="E105" s="102">
        <v>16</v>
      </c>
      <c r="F105" s="103">
        <v>4</v>
      </c>
      <c r="G105" s="103">
        <v>30</v>
      </c>
      <c r="H105" s="97">
        <f t="shared" si="6"/>
        <v>64</v>
      </c>
      <c r="I105" s="20">
        <v>108.6</v>
      </c>
      <c r="J105" s="4">
        <f>HLOOKUP($C105,'Параметры ПФ'!$F$8:$K$13,6,FALSE)</f>
        <v>56.35</v>
      </c>
      <c r="K105" s="4">
        <f t="shared" si="7"/>
        <v>3606.4</v>
      </c>
      <c r="L105" s="5">
        <f>IF(K105&lt;'Параметры ПФ'!J$3+0.01,'Стандартные программы'!K105,ROUNDDOWN('Параметры ПФ'!J$3/IF(I105=0,J105,IF(J105&gt;I105,I105,J105)),0)*IF(I105=0,J105,IF(J105&gt;I105,I105,J105)))</f>
        <v>3606.4</v>
      </c>
      <c r="M105" s="4">
        <f t="shared" si="8"/>
        <v>108192</v>
      </c>
      <c r="N105" s="30">
        <f>IF(K105&lt;'Параметры ПФ'!J$3+0.01,E105*F105*G105,ROUNDDOWN('Параметры ПФ'!J$3/IF(I105=0,J105,IF(J105&gt;I105,I105,J105)),0)*G105)</f>
        <v>1920</v>
      </c>
      <c r="O105" s="25"/>
    </row>
    <row r="106" spans="1:15" x14ac:dyDescent="0.3">
      <c r="A106" s="94" t="s">
        <v>82</v>
      </c>
      <c r="B106" s="3" t="s">
        <v>162</v>
      </c>
      <c r="C106" s="121" t="s">
        <v>43</v>
      </c>
      <c r="D106" s="18">
        <v>36</v>
      </c>
      <c r="E106" s="113">
        <v>20</v>
      </c>
      <c r="F106" s="19">
        <v>4</v>
      </c>
      <c r="G106" s="19">
        <v>16</v>
      </c>
      <c r="H106" s="97">
        <f t="shared" si="6"/>
        <v>80</v>
      </c>
      <c r="I106" s="20">
        <v>108.6</v>
      </c>
      <c r="J106" s="4">
        <f>HLOOKUP($C106,'Параметры ПФ'!$F$8:$K$13,6,FALSE)</f>
        <v>56.35</v>
      </c>
      <c r="K106" s="4">
        <f t="shared" si="7"/>
        <v>4508</v>
      </c>
      <c r="L106" s="5">
        <f>IF(K106&lt;'Параметры ПФ'!J$3+0.01,'Стандартные программы'!K106,ROUNDDOWN('Параметры ПФ'!J$3/IF(I106=0,J106,IF(J106&gt;I106,I106,J106)),0)*IF(I106=0,J106,IF(J106&gt;I106,I106,J106)))</f>
        <v>4508</v>
      </c>
      <c r="M106" s="4">
        <f t="shared" si="8"/>
        <v>72128</v>
      </c>
      <c r="N106" s="30">
        <f>IF(K106&lt;'Параметры ПФ'!J$3+0.01,E106*F106*G106,ROUNDDOWN('Параметры ПФ'!J$3/IF(I106=0,J106,IF(J106&gt;I106,I106,J106)),0)*G106)</f>
        <v>1280</v>
      </c>
      <c r="O106" s="25"/>
    </row>
    <row r="107" spans="1:15" x14ac:dyDescent="0.3">
      <c r="A107" s="94" t="s">
        <v>82</v>
      </c>
      <c r="B107" s="3" t="s">
        <v>163</v>
      </c>
      <c r="C107" s="121" t="s">
        <v>43</v>
      </c>
      <c r="D107" s="18">
        <v>36</v>
      </c>
      <c r="E107" s="18">
        <v>16</v>
      </c>
      <c r="F107" s="19">
        <v>4</v>
      </c>
      <c r="G107" s="19">
        <v>16</v>
      </c>
      <c r="H107" s="97">
        <f t="shared" si="6"/>
        <v>64</v>
      </c>
      <c r="I107" s="20">
        <v>108.6</v>
      </c>
      <c r="J107" s="4">
        <f>HLOOKUP($C107,'Параметры ПФ'!$F$8:$K$13,6,FALSE)</f>
        <v>56.35</v>
      </c>
      <c r="K107" s="4">
        <f t="shared" si="7"/>
        <v>3606.4</v>
      </c>
      <c r="L107" s="5">
        <f>IF(K107&lt;'Параметры ПФ'!J$3+0.01,'Стандартные программы'!K107,ROUNDDOWN('Параметры ПФ'!J$3/IF(I107=0,J107,IF(J107&gt;I107,I107,J107)),0)*IF(I107=0,J107,IF(J107&gt;I107,I107,J107)))</f>
        <v>3606.4</v>
      </c>
      <c r="M107" s="4">
        <f t="shared" si="8"/>
        <v>57702.400000000001</v>
      </c>
      <c r="N107" s="30">
        <f>IF(K107&lt;'Параметры ПФ'!J$3+0.01,E107*F107*G107,ROUNDDOWN('Параметры ПФ'!J$3/IF(I107=0,J107,IF(J107&gt;I107,I107,J107)),0)*G107)</f>
        <v>1024</v>
      </c>
      <c r="O107" s="25"/>
    </row>
    <row r="108" spans="1:15" x14ac:dyDescent="0.3">
      <c r="A108" s="94" t="s">
        <v>82</v>
      </c>
      <c r="B108" s="96" t="s">
        <v>164</v>
      </c>
      <c r="C108" s="120" t="s">
        <v>43</v>
      </c>
      <c r="D108" s="102">
        <v>36</v>
      </c>
      <c r="E108" s="102">
        <v>20</v>
      </c>
      <c r="F108" s="103">
        <v>4</v>
      </c>
      <c r="G108" s="19">
        <v>16</v>
      </c>
      <c r="H108" s="97">
        <f t="shared" si="6"/>
        <v>80</v>
      </c>
      <c r="I108" s="20">
        <v>108.6</v>
      </c>
      <c r="J108" s="4">
        <f>HLOOKUP($C108,'Параметры ПФ'!$F$8:$K$13,6,FALSE)</f>
        <v>56.35</v>
      </c>
      <c r="K108" s="4">
        <f t="shared" si="7"/>
        <v>4508</v>
      </c>
      <c r="L108" s="5">
        <f>IF(K108&lt;'Параметры ПФ'!J$3+0.01,'Стандартные программы'!K108,ROUNDDOWN('Параметры ПФ'!J$3/IF(I108=0,J108,IF(J108&gt;I108,I108,J108)),0)*IF(I108=0,J108,IF(J108&gt;I108,I108,J108)))</f>
        <v>4508</v>
      </c>
      <c r="M108" s="4">
        <f t="shared" si="8"/>
        <v>72128</v>
      </c>
      <c r="N108" s="30">
        <f>IF(K108&lt;'Параметры ПФ'!J$3+0.01,E108*F108*G108,ROUNDDOWN('Параметры ПФ'!J$3/IF(I108=0,J108,IF(J108&gt;I108,I108,J108)),0)*G108)</f>
        <v>1280</v>
      </c>
      <c r="O108" s="25"/>
    </row>
    <row r="109" spans="1:15" x14ac:dyDescent="0.3">
      <c r="A109" s="94" t="s">
        <v>82</v>
      </c>
      <c r="B109" s="96" t="s">
        <v>165</v>
      </c>
      <c r="C109" s="120" t="s">
        <v>43</v>
      </c>
      <c r="D109" s="102">
        <v>36</v>
      </c>
      <c r="E109" s="102">
        <v>16</v>
      </c>
      <c r="F109" s="103">
        <v>4</v>
      </c>
      <c r="G109" s="19">
        <v>16</v>
      </c>
      <c r="H109" s="97">
        <f t="shared" si="6"/>
        <v>64</v>
      </c>
      <c r="I109" s="20">
        <v>108.6</v>
      </c>
      <c r="J109" s="4">
        <f>HLOOKUP($C109,'Параметры ПФ'!$F$8:$K$13,6,FALSE)</f>
        <v>56.35</v>
      </c>
      <c r="K109" s="4">
        <f t="shared" si="7"/>
        <v>3606.4</v>
      </c>
      <c r="L109" s="5">
        <f>IF(K109&lt;'Параметры ПФ'!J$3+0.01,'Стандартные программы'!K109,ROUNDDOWN('Параметры ПФ'!J$3/IF(I109=0,J109,IF(J109&gt;I109,I109,J109)),0)*IF(I109=0,J109,IF(J109&gt;I109,I109,J109)))</f>
        <v>3606.4</v>
      </c>
      <c r="M109" s="4">
        <f t="shared" si="8"/>
        <v>57702.400000000001</v>
      </c>
      <c r="N109" s="30">
        <f>IF(K109&lt;'Параметры ПФ'!J$3+0.01,E109*F109*G109,ROUNDDOWN('Параметры ПФ'!J$3/IF(I109=0,J109,IF(J109&gt;I109,I109,J109)),0)*G109)</f>
        <v>1024</v>
      </c>
      <c r="O109" s="25"/>
    </row>
    <row r="110" spans="1:15" x14ac:dyDescent="0.3">
      <c r="A110" s="94" t="s">
        <v>82</v>
      </c>
      <c r="B110" s="3" t="s">
        <v>165</v>
      </c>
      <c r="C110" s="121" t="s">
        <v>43</v>
      </c>
      <c r="D110" s="18">
        <v>36</v>
      </c>
      <c r="E110" s="18">
        <v>20</v>
      </c>
      <c r="F110" s="19">
        <v>4</v>
      </c>
      <c r="G110" s="19">
        <v>16</v>
      </c>
      <c r="H110" s="97">
        <f t="shared" si="6"/>
        <v>80</v>
      </c>
      <c r="I110" s="20">
        <v>108.6</v>
      </c>
      <c r="J110" s="4">
        <f>HLOOKUP($C110,'Параметры ПФ'!$F$8:$K$13,6,FALSE)</f>
        <v>56.35</v>
      </c>
      <c r="K110" s="4">
        <f t="shared" si="7"/>
        <v>4508</v>
      </c>
      <c r="L110" s="5">
        <f>IF(K110&lt;'Параметры ПФ'!J$3+0.01,'Стандартные программы'!K110,ROUNDDOWN('Параметры ПФ'!J$3/IF(I110=0,J110,IF(J110&gt;I110,I110,J110)),0)*IF(I110=0,J110,IF(J110&gt;I110,I110,J110)))</f>
        <v>4508</v>
      </c>
      <c r="M110" s="4">
        <f t="shared" si="8"/>
        <v>72128</v>
      </c>
      <c r="N110" s="30">
        <f>IF(K110&lt;'Параметры ПФ'!J$3+0.01,E110*F110*G110,ROUNDDOWN('Параметры ПФ'!J$3/IF(I110=0,J110,IF(J110&gt;I110,I110,J110)),0)*G110)</f>
        <v>1280</v>
      </c>
      <c r="O110" s="25"/>
    </row>
    <row r="111" spans="1:15" x14ac:dyDescent="0.3">
      <c r="A111" s="94" t="s">
        <v>82</v>
      </c>
      <c r="B111" s="3" t="s">
        <v>164</v>
      </c>
      <c r="C111" s="121" t="s">
        <v>43</v>
      </c>
      <c r="D111" s="18">
        <v>36</v>
      </c>
      <c r="E111" s="18">
        <v>16</v>
      </c>
      <c r="F111" s="19">
        <v>4</v>
      </c>
      <c r="G111" s="19">
        <v>16</v>
      </c>
      <c r="H111" s="97">
        <f t="shared" si="6"/>
        <v>64</v>
      </c>
      <c r="I111" s="20">
        <v>108.6</v>
      </c>
      <c r="J111" s="4">
        <f>HLOOKUP($C111,'Параметры ПФ'!$F$8:$K$13,6,FALSE)</f>
        <v>56.35</v>
      </c>
      <c r="K111" s="4">
        <f t="shared" si="7"/>
        <v>3606.4</v>
      </c>
      <c r="L111" s="5">
        <f>IF(K111&lt;'Параметры ПФ'!J$3+0.01,'Стандартные программы'!K111,ROUNDDOWN('Параметры ПФ'!J$3/IF(I111=0,J111,IF(J111&gt;I111,I111,J111)),0)*IF(I111=0,J111,IF(J111&gt;I111,I111,J111)))</f>
        <v>3606.4</v>
      </c>
      <c r="M111" s="4">
        <f t="shared" si="8"/>
        <v>57702.400000000001</v>
      </c>
      <c r="N111" s="30">
        <f>IF(K111&lt;'Параметры ПФ'!J$3+0.01,E111*F111*G111,ROUNDDOWN('Параметры ПФ'!J$3/IF(I111=0,J111,IF(J111&gt;I111,I111,J111)),0)*G111)</f>
        <v>1024</v>
      </c>
      <c r="O111" s="25"/>
    </row>
    <row r="112" spans="1:15" x14ac:dyDescent="0.3">
      <c r="A112" s="94" t="s">
        <v>82</v>
      </c>
      <c r="B112" s="96" t="s">
        <v>166</v>
      </c>
      <c r="C112" s="120" t="s">
        <v>43</v>
      </c>
      <c r="D112" s="102">
        <v>36</v>
      </c>
      <c r="E112" s="102">
        <v>20</v>
      </c>
      <c r="F112" s="103">
        <v>4</v>
      </c>
      <c r="G112" s="103">
        <v>32</v>
      </c>
      <c r="H112" s="97">
        <f t="shared" si="6"/>
        <v>80</v>
      </c>
      <c r="I112" s="20">
        <v>108.6</v>
      </c>
      <c r="J112" s="4">
        <f>HLOOKUP($C112,'Параметры ПФ'!$F$8:$K$13,6,FALSE)</f>
        <v>56.35</v>
      </c>
      <c r="K112" s="4">
        <f t="shared" si="7"/>
        <v>4508</v>
      </c>
      <c r="L112" s="5">
        <f>IF(K112&lt;'Параметры ПФ'!J$3+0.01,'Стандартные программы'!K112,ROUNDDOWN('Параметры ПФ'!J$3/IF(I112=0,J112,IF(J112&gt;I112,I112,J112)),0)*IF(I112=0,J112,IF(J112&gt;I112,I112,J112)))</f>
        <v>4508</v>
      </c>
      <c r="M112" s="4">
        <f t="shared" si="8"/>
        <v>144256</v>
      </c>
      <c r="N112" s="30">
        <f>IF(K112&lt;'Параметры ПФ'!J$3+0.01,E112*F112*G112,ROUNDDOWN('Параметры ПФ'!J$3/IF(I112=0,J112,IF(J112&gt;I112,I112,J112)),0)*G112)</f>
        <v>2560</v>
      </c>
      <c r="O112" s="25"/>
    </row>
    <row r="113" spans="1:15" x14ac:dyDescent="0.3">
      <c r="A113" s="94" t="s">
        <v>82</v>
      </c>
      <c r="B113" s="96" t="s">
        <v>166</v>
      </c>
      <c r="C113" s="120" t="s">
        <v>43</v>
      </c>
      <c r="D113" s="102">
        <v>36</v>
      </c>
      <c r="E113" s="102">
        <v>16</v>
      </c>
      <c r="F113" s="103">
        <v>4</v>
      </c>
      <c r="G113" s="103">
        <v>34</v>
      </c>
      <c r="H113" s="97">
        <f>E113*F113</f>
        <v>64</v>
      </c>
      <c r="I113" s="20">
        <v>108.6</v>
      </c>
      <c r="J113" s="4">
        <f>HLOOKUP($C113,'Параметры ПФ'!$F$8:$K$13,6,FALSE)</f>
        <v>56.35</v>
      </c>
      <c r="K113" s="4">
        <f t="shared" si="7"/>
        <v>3606.4</v>
      </c>
      <c r="L113" s="5">
        <f>IF(K113&lt;'Параметры ПФ'!J$3+0.01,'Стандартные программы'!K113,ROUNDDOWN('Параметры ПФ'!J$3/IF(I113=0,J113,IF(J113&gt;I113,I113,J113)),0)*IF(I113=0,J113,IF(J113&gt;I113,I113,J113)))</f>
        <v>3606.4</v>
      </c>
      <c r="M113" s="4">
        <f t="shared" si="8"/>
        <v>122617.60000000001</v>
      </c>
      <c r="N113" s="30">
        <f>IF(K113&lt;'Параметры ПФ'!J$3+0.01,E113*F113*G113,ROUNDDOWN('Параметры ПФ'!J$3/IF(I113=0,J113,IF(J113&gt;I113,I113,J113)),0)*G113)</f>
        <v>2176</v>
      </c>
      <c r="O113" s="25"/>
    </row>
    <row r="114" spans="1:15" x14ac:dyDescent="0.3">
      <c r="A114" s="94" t="s">
        <v>82</v>
      </c>
      <c r="B114" s="3" t="s">
        <v>167</v>
      </c>
      <c r="C114" s="121" t="s">
        <v>43</v>
      </c>
      <c r="D114" s="18">
        <v>36</v>
      </c>
      <c r="E114" s="18">
        <v>20</v>
      </c>
      <c r="F114" s="19">
        <v>4</v>
      </c>
      <c r="G114" s="19">
        <v>30</v>
      </c>
      <c r="H114" s="97">
        <f t="shared" si="6"/>
        <v>80</v>
      </c>
      <c r="I114" s="20">
        <v>108.6</v>
      </c>
      <c r="J114" s="4">
        <f>HLOOKUP($C114,'Параметры ПФ'!$F$8:$K$13,6,FALSE)</f>
        <v>56.35</v>
      </c>
      <c r="K114" s="4">
        <f t="shared" si="7"/>
        <v>4508</v>
      </c>
      <c r="L114" s="5">
        <f>IF(K114&lt;'Параметры ПФ'!J$3+0.01,'Стандартные программы'!K114,ROUNDDOWN('Параметры ПФ'!J$3/IF(I114=0,J114,IF(J114&gt;I114,I114,J114)),0)*IF(I114=0,J114,IF(J114&gt;I114,I114,J114)))</f>
        <v>4508</v>
      </c>
      <c r="M114" s="4">
        <f t="shared" si="8"/>
        <v>135240</v>
      </c>
      <c r="N114" s="30">
        <f>IF(K114&lt;'Параметры ПФ'!J$3+0.01,E114*F114*G114,ROUNDDOWN('Параметры ПФ'!J$3/IF(I114=0,J114,IF(J114&gt;I114,I114,J114)),0)*G114)</f>
        <v>2400</v>
      </c>
      <c r="O114" s="25"/>
    </row>
    <row r="115" spans="1:15" x14ac:dyDescent="0.3">
      <c r="A115" s="94" t="s">
        <v>82</v>
      </c>
      <c r="B115" s="110" t="s">
        <v>168</v>
      </c>
      <c r="C115" s="124" t="s">
        <v>43</v>
      </c>
      <c r="D115" s="111">
        <v>36</v>
      </c>
      <c r="E115" s="111">
        <v>16</v>
      </c>
      <c r="F115" s="112">
        <v>2</v>
      </c>
      <c r="G115" s="112">
        <v>30</v>
      </c>
      <c r="H115" s="97">
        <f t="shared" si="6"/>
        <v>32</v>
      </c>
      <c r="I115" s="20">
        <v>108.6</v>
      </c>
      <c r="J115" s="4">
        <f>HLOOKUP($C115,'Параметры ПФ'!$F$8:$K$13,6,FALSE)</f>
        <v>56.35</v>
      </c>
      <c r="K115" s="4">
        <f t="shared" si="7"/>
        <v>1803.2</v>
      </c>
      <c r="L115" s="5">
        <f>IF(K115&lt;'Параметры ПФ'!J$3+0.01,'Стандартные программы'!K115,ROUNDDOWN('Параметры ПФ'!J$3/IF(I115=0,J115,IF(J115&gt;I115,I115,J115)),0)*IF(I115=0,J115,IF(J115&gt;I115,I115,J115)))</f>
        <v>1803.2</v>
      </c>
      <c r="M115" s="4">
        <f t="shared" si="8"/>
        <v>54096</v>
      </c>
      <c r="N115" s="30">
        <f>IF(K115&lt;'Параметры ПФ'!J$3+0.01,E115*F115*G115,ROUNDDOWN('Параметры ПФ'!J$3/IF(I115=0,J115,IF(J115&gt;I115,I115,J115)),0)*G115)</f>
        <v>960</v>
      </c>
      <c r="O115" s="25"/>
    </row>
    <row r="116" spans="1:15" x14ac:dyDescent="0.3">
      <c r="A116" s="94" t="s">
        <v>82</v>
      </c>
      <c r="B116" s="96" t="s">
        <v>169</v>
      </c>
      <c r="C116" s="120" t="s">
        <v>43</v>
      </c>
      <c r="D116" s="102">
        <v>36</v>
      </c>
      <c r="E116" s="102">
        <v>20</v>
      </c>
      <c r="F116" s="103">
        <v>3</v>
      </c>
      <c r="G116" s="103">
        <v>30</v>
      </c>
      <c r="H116" s="97">
        <f t="shared" si="6"/>
        <v>60</v>
      </c>
      <c r="I116" s="20">
        <v>108.6</v>
      </c>
      <c r="J116" s="4">
        <f>HLOOKUP($C116,'Параметры ПФ'!$F$8:$K$13,6,FALSE)</f>
        <v>56.35</v>
      </c>
      <c r="K116" s="4">
        <f t="shared" si="7"/>
        <v>3381</v>
      </c>
      <c r="L116" s="5">
        <f>IF(K116&lt;'Параметры ПФ'!J$3+0.01,'Стандартные программы'!K116,ROUNDDOWN('Параметры ПФ'!J$3/IF(I116=0,J116,IF(J116&gt;I116,I116,J116)),0)*IF(I116=0,J116,IF(J116&gt;I116,I116,J116)))</f>
        <v>3381</v>
      </c>
      <c r="M116" s="4">
        <f t="shared" si="8"/>
        <v>101430</v>
      </c>
      <c r="N116" s="30">
        <f>IF(K116&lt;'Параметры ПФ'!J$3+0.01,E116*F116*G116,ROUNDDOWN('Параметры ПФ'!J$3/IF(I116=0,J116,IF(J116&gt;I116,I116,J116)),0)*G116)</f>
        <v>1800</v>
      </c>
      <c r="O116" s="25"/>
    </row>
    <row r="117" spans="1:15" x14ac:dyDescent="0.3">
      <c r="A117" s="94" t="s">
        <v>82</v>
      </c>
      <c r="B117" s="96" t="s">
        <v>169</v>
      </c>
      <c r="C117" s="120" t="s">
        <v>43</v>
      </c>
      <c r="D117" s="102">
        <v>36</v>
      </c>
      <c r="E117" s="102">
        <v>16</v>
      </c>
      <c r="F117" s="103">
        <v>3</v>
      </c>
      <c r="G117" s="103">
        <v>32</v>
      </c>
      <c r="H117" s="97">
        <f t="shared" si="6"/>
        <v>48</v>
      </c>
      <c r="I117" s="20">
        <v>108.6</v>
      </c>
      <c r="J117" s="4">
        <f>HLOOKUP($C117,'Параметры ПФ'!$F$8:$K$13,6,FALSE)</f>
        <v>56.35</v>
      </c>
      <c r="K117" s="4">
        <f t="shared" si="7"/>
        <v>2704.8</v>
      </c>
      <c r="L117" s="5">
        <f>IF(K117&lt;'Параметры ПФ'!J$3+0.01,'Стандартные программы'!K117,ROUNDDOWN('Параметры ПФ'!J$3/IF(I117=0,J117,IF(J117&gt;I117,I117,J117)),0)*IF(I117=0,J117,IF(J117&gt;I117,I117,J117)))</f>
        <v>2704.8</v>
      </c>
      <c r="M117" s="4">
        <f t="shared" si="8"/>
        <v>86553.600000000006</v>
      </c>
      <c r="N117" s="30">
        <f>IF(K117&lt;'Параметры ПФ'!J$3+0.01,E117*F117*G117,ROUNDDOWN('Параметры ПФ'!J$3/IF(I117=0,J117,IF(J117&gt;I117,I117,J117)),0)*G117)</f>
        <v>1536</v>
      </c>
      <c r="O117" s="25"/>
    </row>
    <row r="118" spans="1:15" x14ac:dyDescent="0.3">
      <c r="A118" s="94" t="s">
        <v>82</v>
      </c>
      <c r="B118" s="3" t="s">
        <v>170</v>
      </c>
      <c r="C118" s="121" t="s">
        <v>4</v>
      </c>
      <c r="D118" s="18">
        <v>36</v>
      </c>
      <c r="E118" s="18">
        <v>20</v>
      </c>
      <c r="F118" s="19">
        <v>2</v>
      </c>
      <c r="G118" s="19">
        <v>15</v>
      </c>
      <c r="H118" s="97">
        <f t="shared" si="6"/>
        <v>40</v>
      </c>
      <c r="I118" s="20">
        <v>108.6</v>
      </c>
      <c r="J118" s="4">
        <f>HLOOKUP($C118,'Параметры ПФ'!$F$8:$K$13,6,FALSE)</f>
        <v>57.62</v>
      </c>
      <c r="K118" s="4">
        <f t="shared" si="7"/>
        <v>2304.8000000000002</v>
      </c>
      <c r="L118" s="5">
        <f>IF(K118&lt;'Параметры ПФ'!J$3+0.01,'Стандартные программы'!K118,ROUNDDOWN('Параметры ПФ'!J$3/IF(I118=0,J118,IF(J118&gt;I118,I118,J118)),0)*IF(I118=0,J118,IF(J118&gt;I118,I118,J118)))</f>
        <v>2304.8000000000002</v>
      </c>
      <c r="M118" s="4">
        <f t="shared" si="8"/>
        <v>34572</v>
      </c>
      <c r="N118" s="30">
        <f>IF(K118&lt;'Параметры ПФ'!J$3+0.01,E118*F118*G118,ROUNDDOWN('Параметры ПФ'!J$3/IF(I118=0,J118,IF(J118&gt;I118,I118,J118)),0)*G118)</f>
        <v>600</v>
      </c>
      <c r="O118" s="25"/>
    </row>
    <row r="119" spans="1:15" x14ac:dyDescent="0.3">
      <c r="A119" s="94" t="s">
        <v>82</v>
      </c>
      <c r="B119" s="3" t="s">
        <v>170</v>
      </c>
      <c r="C119" s="121" t="s">
        <v>4</v>
      </c>
      <c r="D119" s="18">
        <v>36</v>
      </c>
      <c r="E119" s="18">
        <v>16</v>
      </c>
      <c r="F119" s="19">
        <v>2</v>
      </c>
      <c r="G119" s="19">
        <v>15</v>
      </c>
      <c r="H119" s="97">
        <f t="shared" si="6"/>
        <v>32</v>
      </c>
      <c r="I119" s="20">
        <v>108.6</v>
      </c>
      <c r="J119" s="4">
        <f>HLOOKUP($C119,'Параметры ПФ'!$F$8:$K$13,6,FALSE)</f>
        <v>57.62</v>
      </c>
      <c r="K119" s="4">
        <f t="shared" si="7"/>
        <v>1843.84</v>
      </c>
      <c r="L119" s="5">
        <f>IF(K119&lt;'Параметры ПФ'!J$3+0.01,'Стандартные программы'!K119,ROUNDDOWN('Параметры ПФ'!J$3/IF(I119=0,J119,IF(J119&gt;I119,I119,J119)),0)*IF(I119=0,J119,IF(J119&gt;I119,I119,J119)))</f>
        <v>1843.84</v>
      </c>
      <c r="M119" s="4">
        <f t="shared" si="8"/>
        <v>27657.599999999999</v>
      </c>
      <c r="N119" s="30">
        <f>IF(K119&lt;'Параметры ПФ'!J$3+0.01,E119*F119*G119,ROUNDDOWN('Параметры ПФ'!J$3/IF(I119=0,J119,IF(J119&gt;I119,I119,J119)),0)*G119)</f>
        <v>480</v>
      </c>
      <c r="O119" s="25"/>
    </row>
    <row r="120" spans="1:15" x14ac:dyDescent="0.3">
      <c r="A120" s="94" t="s">
        <v>82</v>
      </c>
      <c r="B120" s="96" t="s">
        <v>171</v>
      </c>
      <c r="C120" s="120" t="s">
        <v>4</v>
      </c>
      <c r="D120" s="102">
        <v>36</v>
      </c>
      <c r="E120" s="102">
        <v>20</v>
      </c>
      <c r="F120" s="103">
        <v>4</v>
      </c>
      <c r="G120" s="103">
        <v>30</v>
      </c>
      <c r="H120" s="97">
        <f t="shared" si="6"/>
        <v>80</v>
      </c>
      <c r="I120" s="20">
        <v>108.6</v>
      </c>
      <c r="J120" s="4">
        <f>HLOOKUP($C120,'Параметры ПФ'!$F$8:$K$13,6,FALSE)</f>
        <v>57.62</v>
      </c>
      <c r="K120" s="4">
        <f t="shared" si="7"/>
        <v>4609.6000000000004</v>
      </c>
      <c r="L120" s="5">
        <f>IF(K120&lt;'Параметры ПФ'!J$3+0.01,'Стандартные программы'!K120,ROUNDDOWN('Параметры ПФ'!J$3/IF(I120=0,J120,IF(J120&gt;I120,I120,J120)),0)*IF(I120=0,J120,IF(J120&gt;I120,I120,J120)))</f>
        <v>4609.6000000000004</v>
      </c>
      <c r="M120" s="4">
        <f t="shared" si="8"/>
        <v>138288</v>
      </c>
      <c r="N120" s="30">
        <f>IF(K120&lt;'Параметры ПФ'!J$3+0.01,E120*F120*G120,ROUNDDOWN('Параметры ПФ'!J$3/IF(I120=0,J120,IF(J120&gt;I120,I120,J120)),0)*G120)</f>
        <v>2400</v>
      </c>
      <c r="O120" s="25"/>
    </row>
    <row r="121" spans="1:15" x14ac:dyDescent="0.3">
      <c r="A121" s="94" t="s">
        <v>82</v>
      </c>
      <c r="B121" s="96" t="s">
        <v>172</v>
      </c>
      <c r="C121" s="120" t="s">
        <v>4</v>
      </c>
      <c r="D121" s="102">
        <v>36</v>
      </c>
      <c r="E121" s="102">
        <v>16</v>
      </c>
      <c r="F121" s="103">
        <v>4</v>
      </c>
      <c r="G121" s="103">
        <v>30</v>
      </c>
      <c r="H121" s="97">
        <f t="shared" si="6"/>
        <v>64</v>
      </c>
      <c r="I121" s="20">
        <v>108.6</v>
      </c>
      <c r="J121" s="4">
        <f>HLOOKUP($C121,'Параметры ПФ'!$F$8:$K$13,6,FALSE)</f>
        <v>57.62</v>
      </c>
      <c r="K121" s="4">
        <f t="shared" si="7"/>
        <v>3687.68</v>
      </c>
      <c r="L121" s="5">
        <f>IF(K121&lt;'Параметры ПФ'!J$3+0.01,'Стандартные программы'!K121,ROUNDDOWN('Параметры ПФ'!J$3/IF(I121=0,J121,IF(J121&gt;I121,I121,J121)),0)*IF(I121=0,J121,IF(J121&gt;I121,I121,J121)))</f>
        <v>3687.68</v>
      </c>
      <c r="M121" s="4">
        <f t="shared" si="8"/>
        <v>110630.39999999999</v>
      </c>
      <c r="N121" s="30">
        <f>IF(K121&lt;'Параметры ПФ'!J$3+0.01,E121*F121*G121,ROUNDDOWN('Параметры ПФ'!J$3/IF(I121=0,J121,IF(J121&gt;I121,I121,J121)),0)*G121)</f>
        <v>1920</v>
      </c>
      <c r="O121" s="25"/>
    </row>
    <row r="122" spans="1:15" x14ac:dyDescent="0.3">
      <c r="A122" s="94" t="s">
        <v>82</v>
      </c>
      <c r="B122" s="3" t="s">
        <v>173</v>
      </c>
      <c r="C122" s="121" t="s">
        <v>7</v>
      </c>
      <c r="D122" s="18">
        <v>36</v>
      </c>
      <c r="E122" s="18">
        <v>20</v>
      </c>
      <c r="F122" s="19">
        <v>2</v>
      </c>
      <c r="G122" s="19">
        <v>30</v>
      </c>
      <c r="H122" s="97">
        <f t="shared" si="6"/>
        <v>40</v>
      </c>
      <c r="I122" s="20">
        <v>108.6</v>
      </c>
      <c r="J122" s="4">
        <f>HLOOKUP($C122,'Параметры ПФ'!$F$8:$K$13,6,FALSE)</f>
        <v>57.92</v>
      </c>
      <c r="K122" s="4">
        <f t="shared" si="7"/>
        <v>2316.8000000000002</v>
      </c>
      <c r="L122" s="5">
        <f>IF(K122&lt;'Параметры ПФ'!J$3+0.01,'Стандартные программы'!K122,ROUNDDOWN('Параметры ПФ'!J$3/IF(I122=0,J122,IF(J122&gt;I122,I122,J122)),0)*IF(I122=0,J122,IF(J122&gt;I122,I122,J122)))</f>
        <v>2316.8000000000002</v>
      </c>
      <c r="M122" s="4">
        <f t="shared" si="8"/>
        <v>69504</v>
      </c>
      <c r="N122" s="30">
        <f>IF(K122&lt;'Параметры ПФ'!J$3+0.01,E122*F122*G122,ROUNDDOWN('Параметры ПФ'!J$3/IF(I122=0,J122,IF(J122&gt;I122,I122,J122)),0)*G122)</f>
        <v>1200</v>
      </c>
      <c r="O122" s="25"/>
    </row>
    <row r="123" spans="1:15" x14ac:dyDescent="0.3">
      <c r="A123" s="94" t="s">
        <v>82</v>
      </c>
      <c r="B123" s="110" t="s">
        <v>174</v>
      </c>
      <c r="C123" s="124" t="s">
        <v>7</v>
      </c>
      <c r="D123" s="111">
        <v>36</v>
      </c>
      <c r="E123" s="111">
        <v>16</v>
      </c>
      <c r="F123" s="112">
        <v>2</v>
      </c>
      <c r="G123" s="112">
        <v>32</v>
      </c>
      <c r="H123" s="97">
        <f t="shared" si="6"/>
        <v>32</v>
      </c>
      <c r="I123" s="20">
        <v>108.6</v>
      </c>
      <c r="J123" s="4">
        <f>HLOOKUP($C123,'Параметры ПФ'!$F$8:$K$13,6,FALSE)</f>
        <v>57.92</v>
      </c>
      <c r="K123" s="4">
        <f t="shared" si="7"/>
        <v>1853.44</v>
      </c>
      <c r="L123" s="5">
        <f>IF(K123&lt;'Параметры ПФ'!J$3+0.01,'Стандартные программы'!K123,ROUNDDOWN('Параметры ПФ'!J$3/IF(I123=0,J123,IF(J123&gt;I123,I123,J123)),0)*IF(I123=0,J123,IF(J123&gt;I123,I123,J123)))</f>
        <v>1853.44</v>
      </c>
      <c r="M123" s="4">
        <f t="shared" si="8"/>
        <v>59310.080000000002</v>
      </c>
      <c r="N123" s="30">
        <f>IF(K123&lt;'Параметры ПФ'!J$3+0.01,E123*F123*G123,ROUNDDOWN('Параметры ПФ'!J$3/IF(I123=0,J123,IF(J123&gt;I123,I123,J123)),0)*G123)</f>
        <v>1024</v>
      </c>
      <c r="O123" s="25"/>
    </row>
    <row r="124" spans="1:15" x14ac:dyDescent="0.3">
      <c r="A124" s="94" t="s">
        <v>82</v>
      </c>
      <c r="B124" s="96" t="s">
        <v>175</v>
      </c>
      <c r="C124" s="120" t="s">
        <v>7</v>
      </c>
      <c r="D124" s="102">
        <v>36</v>
      </c>
      <c r="E124" s="102">
        <v>20</v>
      </c>
      <c r="F124" s="103">
        <v>3</v>
      </c>
      <c r="G124" s="103">
        <v>40</v>
      </c>
      <c r="H124" s="97">
        <f t="shared" si="6"/>
        <v>60</v>
      </c>
      <c r="I124" s="20">
        <v>108.6</v>
      </c>
      <c r="J124" s="4">
        <f>HLOOKUP($C124,'Параметры ПФ'!$F$8:$K$13,6,FALSE)</f>
        <v>57.92</v>
      </c>
      <c r="K124" s="4">
        <f t="shared" si="7"/>
        <v>3475.2</v>
      </c>
      <c r="L124" s="5">
        <f>IF(K124&lt;'Параметры ПФ'!J$3+0.01,'Стандартные программы'!K124,ROUNDDOWN('Параметры ПФ'!J$3/IF(I124=0,J124,IF(J124&gt;I124,I124,J124)),0)*IF(I124=0,J124,IF(J124&gt;I124,I124,J124)))</f>
        <v>3475.2</v>
      </c>
      <c r="M124" s="4">
        <f t="shared" si="8"/>
        <v>139008</v>
      </c>
      <c r="N124" s="30">
        <f>IF(K124&lt;'Параметры ПФ'!J$3+0.01,E124*F124*G124,ROUNDDOWN('Параметры ПФ'!J$3/IF(I124=0,J124,IF(J124&gt;I124,I124,J124)),0)*G124)</f>
        <v>2400</v>
      </c>
      <c r="O124" s="25"/>
    </row>
    <row r="125" spans="1:15" x14ac:dyDescent="0.3">
      <c r="A125" s="94" t="s">
        <v>82</v>
      </c>
      <c r="B125" s="96" t="s">
        <v>176</v>
      </c>
      <c r="C125" s="120" t="s">
        <v>7</v>
      </c>
      <c r="D125" s="102">
        <v>36</v>
      </c>
      <c r="E125" s="102">
        <v>16</v>
      </c>
      <c r="F125" s="103">
        <v>3</v>
      </c>
      <c r="G125" s="103">
        <v>45</v>
      </c>
      <c r="H125" s="97">
        <f t="shared" si="6"/>
        <v>48</v>
      </c>
      <c r="I125" s="20">
        <v>108.6</v>
      </c>
      <c r="J125" s="4">
        <f>HLOOKUP($C125,'Параметры ПФ'!$F$8:$K$13,6,FALSE)</f>
        <v>57.92</v>
      </c>
      <c r="K125" s="4">
        <f t="shared" si="7"/>
        <v>2780.16</v>
      </c>
      <c r="L125" s="5">
        <f>IF(K125&lt;'Параметры ПФ'!J$3+0.01,'Стандартные программы'!K125,ROUNDDOWN('Параметры ПФ'!J$3/IF(I125=0,J125,IF(J125&gt;I125,I125,J125)),0)*IF(I125=0,J125,IF(J125&gt;I125,I125,J125)))</f>
        <v>2780.16</v>
      </c>
      <c r="M125" s="4">
        <f t="shared" si="8"/>
        <v>125107.2</v>
      </c>
      <c r="N125" s="30">
        <f>IF(K125&lt;'Параметры ПФ'!J$3+0.01,E125*F125*G125,ROUNDDOWN('Параметры ПФ'!J$3/IF(I125=0,J125,IF(J125&gt;I125,I125,J125)),0)*G125)</f>
        <v>2160</v>
      </c>
      <c r="O125" s="25"/>
    </row>
    <row r="126" spans="1:15" x14ac:dyDescent="0.3">
      <c r="A126" s="94" t="s">
        <v>82</v>
      </c>
      <c r="B126" s="3" t="s">
        <v>177</v>
      </c>
      <c r="C126" s="121" t="s">
        <v>7</v>
      </c>
      <c r="D126" s="18">
        <v>36</v>
      </c>
      <c r="E126" s="18">
        <v>20</v>
      </c>
      <c r="F126" s="19">
        <v>1</v>
      </c>
      <c r="G126" s="19">
        <v>80</v>
      </c>
      <c r="H126" s="97">
        <f t="shared" si="6"/>
        <v>20</v>
      </c>
      <c r="I126" s="20">
        <v>108.6</v>
      </c>
      <c r="J126" s="4">
        <f>HLOOKUP($C126,'Параметры ПФ'!$F$8:$K$13,6,FALSE)</f>
        <v>57.92</v>
      </c>
      <c r="K126" s="4">
        <f t="shared" si="7"/>
        <v>1158.4000000000001</v>
      </c>
      <c r="L126" s="5">
        <f>IF(K126&lt;'Параметры ПФ'!J$3+0.01,'Стандартные программы'!K126,ROUNDDOWN('Параметры ПФ'!J$3/IF(I126=0,J126,IF(J126&gt;I126,I126,J126)),0)*IF(I126=0,J126,IF(J126&gt;I126,I126,J126)))</f>
        <v>1158.4000000000001</v>
      </c>
      <c r="M126" s="4">
        <f t="shared" si="8"/>
        <v>92672</v>
      </c>
      <c r="N126" s="30">
        <f>IF(K126&lt;'Параметры ПФ'!J$3+0.01,E126*F126*G126,ROUNDDOWN('Параметры ПФ'!J$3/IF(I126=0,J126,IF(J126&gt;I126,I126,J126)),0)*G126)</f>
        <v>1600</v>
      </c>
      <c r="O126" s="25"/>
    </row>
    <row r="127" spans="1:15" x14ac:dyDescent="0.3">
      <c r="A127" s="94" t="s">
        <v>82</v>
      </c>
      <c r="B127" s="96" t="s">
        <v>178</v>
      </c>
      <c r="C127" s="120" t="s">
        <v>7</v>
      </c>
      <c r="D127" s="102">
        <v>36</v>
      </c>
      <c r="E127" s="102">
        <v>20</v>
      </c>
      <c r="F127" s="103">
        <v>4</v>
      </c>
      <c r="G127" s="103">
        <v>32</v>
      </c>
      <c r="H127" s="97">
        <f t="shared" si="6"/>
        <v>80</v>
      </c>
      <c r="I127" s="20">
        <v>108.6</v>
      </c>
      <c r="J127" s="4">
        <f>HLOOKUP($C127,'Параметры ПФ'!$F$8:$K$13,6,FALSE)</f>
        <v>57.92</v>
      </c>
      <c r="K127" s="4">
        <f t="shared" si="7"/>
        <v>4633.6000000000004</v>
      </c>
      <c r="L127" s="5">
        <f>IF(K127&lt;'Параметры ПФ'!J$3+0.01,'Стандартные программы'!K127,ROUNDDOWN('Параметры ПФ'!J$3/IF(I127=0,J127,IF(J127&gt;I127,I127,J127)),0)*IF(I127=0,J127,IF(J127&gt;I127,I127,J127)))</f>
        <v>4633.6000000000004</v>
      </c>
      <c r="M127" s="4">
        <f t="shared" si="8"/>
        <v>148275.20000000001</v>
      </c>
      <c r="N127" s="30">
        <f>IF(K127&lt;'Параметры ПФ'!J$3+0.01,E127*F127*G127,ROUNDDOWN('Параметры ПФ'!J$3/IF(I127=0,J127,IF(J127&gt;I127,I127,J127)),0)*G127)</f>
        <v>2560</v>
      </c>
      <c r="O127" s="25"/>
    </row>
    <row r="128" spans="1:15" x14ac:dyDescent="0.3">
      <c r="A128" s="94" t="s">
        <v>82</v>
      </c>
      <c r="B128" s="96" t="s">
        <v>178</v>
      </c>
      <c r="C128" s="120" t="s">
        <v>7</v>
      </c>
      <c r="D128" s="102">
        <v>36</v>
      </c>
      <c r="E128" s="102">
        <v>16</v>
      </c>
      <c r="F128" s="103">
        <v>4</v>
      </c>
      <c r="G128" s="103">
        <v>32</v>
      </c>
      <c r="H128" s="97">
        <f t="shared" si="6"/>
        <v>64</v>
      </c>
      <c r="I128" s="20">
        <v>108.6</v>
      </c>
      <c r="J128" s="4">
        <f>HLOOKUP($C128,'Параметры ПФ'!$F$8:$K$13,6,FALSE)</f>
        <v>57.92</v>
      </c>
      <c r="K128" s="4">
        <f t="shared" si="7"/>
        <v>3706.88</v>
      </c>
      <c r="L128" s="5">
        <f>IF(K128&lt;'Параметры ПФ'!J$3+0.01,'Стандартные программы'!K128,ROUNDDOWN('Параметры ПФ'!J$3/IF(I128=0,J128,IF(J128&gt;I128,I128,J128)),0)*IF(I128=0,J128,IF(J128&gt;I128,I128,J128)))</f>
        <v>3706.88</v>
      </c>
      <c r="M128" s="4">
        <f t="shared" si="8"/>
        <v>118620.16</v>
      </c>
      <c r="N128" s="30">
        <f>IF(K128&lt;'Параметры ПФ'!J$3+0.01,E128*F128*G128,ROUNDDOWN('Параметры ПФ'!J$3/IF(I128=0,J128,IF(J128&gt;I128,I128,J128)),0)*G128)</f>
        <v>2048</v>
      </c>
      <c r="O128" s="25"/>
    </row>
    <row r="129" spans="1:15" x14ac:dyDescent="0.3">
      <c r="A129" s="94" t="s">
        <v>82</v>
      </c>
      <c r="B129" s="96" t="s">
        <v>179</v>
      </c>
      <c r="C129" s="120" t="s">
        <v>7</v>
      </c>
      <c r="D129" s="102">
        <v>36</v>
      </c>
      <c r="E129" s="102">
        <v>16</v>
      </c>
      <c r="F129" s="103">
        <v>2</v>
      </c>
      <c r="G129" s="103">
        <v>18</v>
      </c>
      <c r="H129" s="97">
        <f t="shared" si="6"/>
        <v>32</v>
      </c>
      <c r="I129" s="20">
        <v>108.6</v>
      </c>
      <c r="J129" s="4">
        <f>HLOOKUP($C129,'Параметры ПФ'!$F$8:$K$13,6,FALSE)</f>
        <v>57.92</v>
      </c>
      <c r="K129" s="4">
        <f t="shared" si="7"/>
        <v>1853.44</v>
      </c>
      <c r="L129" s="5">
        <f>IF(K129&lt;'Параметры ПФ'!J$3+0.01,'Стандартные программы'!K129,ROUNDDOWN('Параметры ПФ'!J$3/IF(I129=0,J129,IF(J129&gt;I129,I129,J129)),0)*IF(I129=0,J129,IF(J129&gt;I129,I129,J129)))</f>
        <v>1853.44</v>
      </c>
      <c r="M129" s="4">
        <f t="shared" si="8"/>
        <v>33361.919999999998</v>
      </c>
      <c r="N129" s="30">
        <f>IF(K129&lt;'Параметры ПФ'!J$3+0.01,E129*F129*G129,ROUNDDOWN('Параметры ПФ'!J$3/IF(I129=0,J129,IF(J129&gt;I129,I129,J129)),0)*G129)</f>
        <v>576</v>
      </c>
      <c r="O129" s="25"/>
    </row>
    <row r="130" spans="1:15" x14ac:dyDescent="0.3">
      <c r="A130" s="3" t="s">
        <v>180</v>
      </c>
      <c r="B130" s="3" t="s">
        <v>181</v>
      </c>
      <c r="C130" s="121" t="s">
        <v>5</v>
      </c>
      <c r="D130" s="18">
        <v>36</v>
      </c>
      <c r="E130" s="18">
        <v>16</v>
      </c>
      <c r="F130" s="19">
        <v>4</v>
      </c>
      <c r="G130" s="19">
        <v>18</v>
      </c>
      <c r="H130" s="97">
        <f t="shared" si="6"/>
        <v>64</v>
      </c>
      <c r="I130" s="20">
        <v>138.71</v>
      </c>
      <c r="J130" s="4">
        <f>HLOOKUP($C130,'Параметры ПФ'!$F$8:$K$13,6,FALSE)</f>
        <v>57.67</v>
      </c>
      <c r="K130" s="4">
        <f t="shared" ref="K130:K160" si="9">IF(I130=0,J130*F130*E130,IF(J130&gt;I130,I130*F130*E130,J130*F130*E130))</f>
        <v>3690.88</v>
      </c>
      <c r="L130" s="5">
        <f>IF(K130&lt;'Параметры ПФ'!J$3+0.01,'Стандартные программы'!K130,ROUNDDOWN('Параметры ПФ'!J$3/IF(I130=0,J130,IF(J130&gt;I130,I130,J130)),0)*IF(I130=0,J130,IF(J130&gt;I130,I130,J130)))</f>
        <v>3690.88</v>
      </c>
      <c r="M130" s="4">
        <f t="shared" ref="M130:M160" si="10">L130*G130</f>
        <v>66435.839999999997</v>
      </c>
      <c r="N130" s="30">
        <f>IF(K130&lt;'Параметры ПФ'!J$3+0.01,E130*F130*G130,ROUNDDOWN('Параметры ПФ'!J$3/IF(I130=0,J130,IF(J130&gt;I130,I130,J130)),0)*G130)</f>
        <v>1152</v>
      </c>
      <c r="O130" s="25">
        <f t="shared" ref="O130:O160" si="11">IF(I130=0,J130*F130*E130,IF(J130&gt;I130,I130*F130*E130,J130*F130*E130))-L130</f>
        <v>0</v>
      </c>
    </row>
    <row r="131" spans="1:15" x14ac:dyDescent="0.3">
      <c r="A131" s="3" t="s">
        <v>180</v>
      </c>
      <c r="B131" s="3" t="s">
        <v>181</v>
      </c>
      <c r="C131" s="121" t="s">
        <v>5</v>
      </c>
      <c r="D131" s="18">
        <v>36</v>
      </c>
      <c r="E131" s="18">
        <v>20</v>
      </c>
      <c r="F131" s="19">
        <v>4</v>
      </c>
      <c r="G131" s="19">
        <v>18</v>
      </c>
      <c r="H131" s="97">
        <f t="shared" si="6"/>
        <v>80</v>
      </c>
      <c r="I131" s="20">
        <v>138.71</v>
      </c>
      <c r="J131" s="4">
        <f>HLOOKUP($C131,'Параметры ПФ'!$F$8:$K$13,6,FALSE)</f>
        <v>57.67</v>
      </c>
      <c r="K131" s="4">
        <f t="shared" si="9"/>
        <v>4613.6000000000004</v>
      </c>
      <c r="L131" s="5">
        <f>IF(K131&lt;'Параметры ПФ'!J$3+0.01,'Стандартные программы'!K131,ROUNDDOWN('Параметры ПФ'!J$3/IF(I131=0,J131,IF(J131&gt;I131,I131,J131)),0)*IF(I131=0,J131,IF(J131&gt;I131,I131,J131)))</f>
        <v>4613.6000000000004</v>
      </c>
      <c r="M131" s="4">
        <f t="shared" si="10"/>
        <v>83044.800000000003</v>
      </c>
      <c r="N131" s="30">
        <f>IF(K131&lt;'Параметры ПФ'!J$3+0.01,E131*F131*G131,ROUNDDOWN('Параметры ПФ'!J$3/IF(I131=0,J131,IF(J131&gt;I131,I131,J131)),0)*G131)</f>
        <v>1440</v>
      </c>
      <c r="O131" s="25">
        <f t="shared" si="11"/>
        <v>0</v>
      </c>
    </row>
    <row r="132" spans="1:15" x14ac:dyDescent="0.3">
      <c r="A132" s="3" t="s">
        <v>180</v>
      </c>
      <c r="B132" s="3" t="s">
        <v>182</v>
      </c>
      <c r="C132" s="121" t="s">
        <v>5</v>
      </c>
      <c r="D132" s="18">
        <v>36</v>
      </c>
      <c r="E132" s="18">
        <v>16</v>
      </c>
      <c r="F132" s="19">
        <v>4</v>
      </c>
      <c r="G132" s="19">
        <v>45</v>
      </c>
      <c r="H132" s="97">
        <f t="shared" ref="H132:H159" si="12">E132*F132</f>
        <v>64</v>
      </c>
      <c r="I132" s="20">
        <v>138.71</v>
      </c>
      <c r="J132" s="4">
        <f>HLOOKUP($C132,'Параметры ПФ'!$F$8:$K$13,6,FALSE)</f>
        <v>57.67</v>
      </c>
      <c r="K132" s="4">
        <f t="shared" si="9"/>
        <v>3690.88</v>
      </c>
      <c r="L132" s="5">
        <f>IF(K132&lt;'Параметры ПФ'!J$3+0.01,'Стандартные программы'!K132,ROUNDDOWN('Параметры ПФ'!J$3/IF(I132=0,J132,IF(J132&gt;I132,I132,J132)),0)*IF(I132=0,J132,IF(J132&gt;I132,I132,J132)))</f>
        <v>3690.88</v>
      </c>
      <c r="M132" s="4">
        <f t="shared" si="10"/>
        <v>166089.60000000001</v>
      </c>
      <c r="N132" s="30">
        <f>IF(K132&lt;'Параметры ПФ'!J$3+0.01,E132*F132*G132,ROUNDDOWN('Параметры ПФ'!J$3/IF(I132=0,J132,IF(J132&gt;I132,I132,J132)),0)*G132)</f>
        <v>2880</v>
      </c>
      <c r="O132" s="25">
        <f t="shared" si="11"/>
        <v>0</v>
      </c>
    </row>
    <row r="133" spans="1:15" x14ac:dyDescent="0.3">
      <c r="A133" s="3" t="s">
        <v>180</v>
      </c>
      <c r="B133" s="3" t="s">
        <v>182</v>
      </c>
      <c r="C133" s="121" t="s">
        <v>5</v>
      </c>
      <c r="D133" s="18">
        <v>36</v>
      </c>
      <c r="E133" s="18">
        <v>20</v>
      </c>
      <c r="F133" s="19">
        <v>4</v>
      </c>
      <c r="G133" s="19">
        <v>42</v>
      </c>
      <c r="H133" s="97">
        <f t="shared" si="12"/>
        <v>80</v>
      </c>
      <c r="I133" s="20">
        <v>138.71</v>
      </c>
      <c r="J133" s="4">
        <f>HLOOKUP($C133,'Параметры ПФ'!$F$8:$K$13,6,FALSE)</f>
        <v>57.67</v>
      </c>
      <c r="K133" s="4">
        <f t="shared" si="9"/>
        <v>4613.6000000000004</v>
      </c>
      <c r="L133" s="5">
        <f>IF(K133&lt;'Параметры ПФ'!J$3+0.01,'Стандартные программы'!K133,ROUNDDOWN('Параметры ПФ'!J$3/IF(I133=0,J133,IF(J133&gt;I133,I133,J133)),0)*IF(I133=0,J133,IF(J133&gt;I133,I133,J133)))</f>
        <v>4613.6000000000004</v>
      </c>
      <c r="M133" s="4">
        <f t="shared" si="10"/>
        <v>193771.2</v>
      </c>
      <c r="N133" s="30">
        <f>IF(K133&lt;'Параметры ПФ'!J$3+0.01,E133*F133*G133,ROUNDDOWN('Параметры ПФ'!J$3/IF(I133=0,J133,IF(J133&gt;I133,I133,J133)),0)*G133)</f>
        <v>3360</v>
      </c>
      <c r="O133" s="25">
        <f t="shared" si="11"/>
        <v>0</v>
      </c>
    </row>
    <row r="134" spans="1:15" x14ac:dyDescent="0.3">
      <c r="A134" s="3" t="s">
        <v>180</v>
      </c>
      <c r="B134" s="3" t="s">
        <v>183</v>
      </c>
      <c r="C134" s="121" t="s">
        <v>5</v>
      </c>
      <c r="D134" s="18">
        <v>36</v>
      </c>
      <c r="E134" s="18">
        <v>16</v>
      </c>
      <c r="F134" s="19">
        <v>4</v>
      </c>
      <c r="G134" s="19">
        <v>16</v>
      </c>
      <c r="H134" s="97">
        <f t="shared" si="12"/>
        <v>64</v>
      </c>
      <c r="I134" s="20">
        <v>138.71</v>
      </c>
      <c r="J134" s="4">
        <f>HLOOKUP($C134,'Параметры ПФ'!$F$8:$K$13,6,FALSE)</f>
        <v>57.67</v>
      </c>
      <c r="K134" s="4">
        <f t="shared" si="9"/>
        <v>3690.88</v>
      </c>
      <c r="L134" s="5">
        <f>IF(K134&lt;'Параметры ПФ'!J$3+0.01,'Стандартные программы'!K134,ROUNDDOWN('Параметры ПФ'!J$3/IF(I134=0,J134,IF(J134&gt;I134,I134,J134)),0)*IF(I134=0,J134,IF(J134&gt;I134,I134,J134)))</f>
        <v>3690.88</v>
      </c>
      <c r="M134" s="4">
        <f t="shared" si="10"/>
        <v>59054.080000000002</v>
      </c>
      <c r="N134" s="30">
        <f>IF(K134&lt;'Параметры ПФ'!J$3+0.01,E134*F134*G134,ROUNDDOWN('Параметры ПФ'!J$3/IF(I134=0,J134,IF(J134&gt;I134,I134,J134)),0)*G134)</f>
        <v>1024</v>
      </c>
      <c r="O134" s="25">
        <f t="shared" si="11"/>
        <v>0</v>
      </c>
    </row>
    <row r="135" spans="1:15" x14ac:dyDescent="0.3">
      <c r="A135" s="3" t="s">
        <v>180</v>
      </c>
      <c r="B135" s="3" t="s">
        <v>183</v>
      </c>
      <c r="C135" s="121" t="s">
        <v>5</v>
      </c>
      <c r="D135" s="18">
        <v>36</v>
      </c>
      <c r="E135" s="18">
        <v>20</v>
      </c>
      <c r="F135" s="19">
        <v>4</v>
      </c>
      <c r="G135" s="19">
        <v>16</v>
      </c>
      <c r="H135" s="97">
        <f t="shared" si="12"/>
        <v>80</v>
      </c>
      <c r="I135" s="20">
        <v>138.71</v>
      </c>
      <c r="J135" s="4">
        <f>HLOOKUP($C135,'Параметры ПФ'!$F$8:$K$13,6,FALSE)</f>
        <v>57.67</v>
      </c>
      <c r="K135" s="4">
        <f t="shared" si="9"/>
        <v>4613.6000000000004</v>
      </c>
      <c r="L135" s="5">
        <f>IF(K135&lt;'Параметры ПФ'!J$3+0.01,'Стандартные программы'!K135,ROUNDDOWN('Параметры ПФ'!J$3/IF(I135=0,J135,IF(J135&gt;I135,I135,J135)),0)*IF(I135=0,J135,IF(J135&gt;I135,I135,J135)))</f>
        <v>4613.6000000000004</v>
      </c>
      <c r="M135" s="4">
        <f t="shared" si="10"/>
        <v>73817.600000000006</v>
      </c>
      <c r="N135" s="30">
        <f>IF(K135&lt;'Параметры ПФ'!J$3+0.01,E135*F135*G135,ROUNDDOWN('Параметры ПФ'!J$3/IF(I135=0,J135,IF(J135&gt;I135,I135,J135)),0)*G135)</f>
        <v>1280</v>
      </c>
      <c r="O135" s="25">
        <f t="shared" si="11"/>
        <v>0</v>
      </c>
    </row>
    <row r="136" spans="1:15" x14ac:dyDescent="0.3">
      <c r="A136" s="3" t="s">
        <v>180</v>
      </c>
      <c r="B136" s="3" t="s">
        <v>184</v>
      </c>
      <c r="C136" s="121" t="s">
        <v>5</v>
      </c>
      <c r="D136" s="18">
        <v>36</v>
      </c>
      <c r="E136" s="18">
        <v>16</v>
      </c>
      <c r="F136" s="19">
        <v>4</v>
      </c>
      <c r="G136" s="19">
        <v>34</v>
      </c>
      <c r="H136" s="97">
        <f t="shared" si="12"/>
        <v>64</v>
      </c>
      <c r="I136" s="20">
        <v>138.71</v>
      </c>
      <c r="J136" s="4">
        <f>HLOOKUP($C136,'Параметры ПФ'!$F$8:$K$13,6,FALSE)</f>
        <v>57.67</v>
      </c>
      <c r="K136" s="4">
        <f t="shared" si="9"/>
        <v>3690.88</v>
      </c>
      <c r="L136" s="5">
        <f>IF(K136&lt;'Параметры ПФ'!J$3+0.01,'Стандартные программы'!K136,ROUNDDOWN('Параметры ПФ'!J$3/IF(I136=0,J136,IF(J136&gt;I136,I136,J136)),0)*IF(I136=0,J136,IF(J136&gt;I136,I136,J136)))</f>
        <v>3690.88</v>
      </c>
      <c r="M136" s="4">
        <f t="shared" si="10"/>
        <v>125489.92</v>
      </c>
      <c r="N136" s="30">
        <f>IF(K136&lt;'Параметры ПФ'!J$3+0.01,E136*F136*G136,ROUNDDOWN('Параметры ПФ'!J$3/IF(I136=0,J136,IF(J136&gt;I136,I136,J136)),0)*G136)</f>
        <v>2176</v>
      </c>
      <c r="O136" s="25">
        <f t="shared" si="11"/>
        <v>0</v>
      </c>
    </row>
    <row r="137" spans="1:15" x14ac:dyDescent="0.3">
      <c r="A137" s="3" t="s">
        <v>180</v>
      </c>
      <c r="B137" s="3" t="s">
        <v>184</v>
      </c>
      <c r="C137" s="121" t="s">
        <v>5</v>
      </c>
      <c r="D137" s="18">
        <v>36</v>
      </c>
      <c r="E137" s="18">
        <v>20</v>
      </c>
      <c r="F137" s="19">
        <v>4</v>
      </c>
      <c r="G137" s="19">
        <v>32</v>
      </c>
      <c r="H137" s="97">
        <f t="shared" si="12"/>
        <v>80</v>
      </c>
      <c r="I137" s="20">
        <v>138.71</v>
      </c>
      <c r="J137" s="4">
        <f>HLOOKUP($C137,'Параметры ПФ'!$F$8:$K$13,6,FALSE)</f>
        <v>57.67</v>
      </c>
      <c r="K137" s="4">
        <f t="shared" si="9"/>
        <v>4613.6000000000004</v>
      </c>
      <c r="L137" s="5">
        <f>IF(K137&lt;'Параметры ПФ'!J$3+0.01,'Стандартные программы'!K137,ROUNDDOWN('Параметры ПФ'!J$3/IF(I137=0,J137,IF(J137&gt;I137,I137,J137)),0)*IF(I137=0,J137,IF(J137&gt;I137,I137,J137)))</f>
        <v>4613.6000000000004</v>
      </c>
      <c r="M137" s="4">
        <f t="shared" si="10"/>
        <v>147635.20000000001</v>
      </c>
      <c r="N137" s="30">
        <f>IF(K137&lt;'Параметры ПФ'!J$3+0.01,E137*F137*G137,ROUNDDOWN('Параметры ПФ'!J$3/IF(I137=0,J137,IF(J137&gt;I137,I137,J137)),0)*G137)</f>
        <v>2560</v>
      </c>
      <c r="O137" s="25">
        <f t="shared" si="11"/>
        <v>0</v>
      </c>
    </row>
    <row r="138" spans="1:15" x14ac:dyDescent="0.3">
      <c r="A138" s="3" t="s">
        <v>180</v>
      </c>
      <c r="B138" s="3" t="s">
        <v>185</v>
      </c>
      <c r="C138" s="121" t="s">
        <v>5</v>
      </c>
      <c r="D138" s="18">
        <v>36</v>
      </c>
      <c r="E138" s="18">
        <v>16</v>
      </c>
      <c r="F138" s="19">
        <v>4</v>
      </c>
      <c r="G138" s="19">
        <v>43</v>
      </c>
      <c r="H138" s="97">
        <f t="shared" si="12"/>
        <v>64</v>
      </c>
      <c r="I138" s="20">
        <v>138.71</v>
      </c>
      <c r="J138" s="4">
        <f>HLOOKUP($C138,'Параметры ПФ'!$F$8:$K$13,6,FALSE)</f>
        <v>57.67</v>
      </c>
      <c r="K138" s="4">
        <f t="shared" si="9"/>
        <v>3690.88</v>
      </c>
      <c r="L138" s="5">
        <f>IF(K138&lt;'Параметры ПФ'!J$3+0.01,'Стандартные программы'!K138,ROUNDDOWN('Параметры ПФ'!J$3/IF(I138=0,J138,IF(J138&gt;I138,I138,J138)),0)*IF(I138=0,J138,IF(J138&gt;I138,I138,J138)))</f>
        <v>3690.88</v>
      </c>
      <c r="M138" s="4">
        <f t="shared" si="10"/>
        <v>158707.84</v>
      </c>
      <c r="N138" s="30">
        <f>IF(K138&lt;'Параметры ПФ'!J$3+0.01,E138*F138*G138,ROUNDDOWN('Параметры ПФ'!J$3/IF(I138=0,J138,IF(J138&gt;I138,I138,J138)),0)*G138)</f>
        <v>2752</v>
      </c>
      <c r="O138" s="25">
        <f t="shared" si="11"/>
        <v>0</v>
      </c>
    </row>
    <row r="139" spans="1:15" x14ac:dyDescent="0.3">
      <c r="A139" s="3" t="s">
        <v>180</v>
      </c>
      <c r="B139" s="3" t="s">
        <v>185</v>
      </c>
      <c r="C139" s="121" t="s">
        <v>5</v>
      </c>
      <c r="D139" s="18">
        <v>36</v>
      </c>
      <c r="E139" s="18">
        <v>20</v>
      </c>
      <c r="F139" s="19">
        <v>4</v>
      </c>
      <c r="G139" s="19">
        <v>38</v>
      </c>
      <c r="H139" s="97">
        <f t="shared" si="12"/>
        <v>80</v>
      </c>
      <c r="I139" s="20">
        <v>138.71</v>
      </c>
      <c r="J139" s="4">
        <f>HLOOKUP($C139,'Параметры ПФ'!$F$8:$K$13,6,FALSE)</f>
        <v>57.67</v>
      </c>
      <c r="K139" s="4">
        <f t="shared" si="9"/>
        <v>4613.6000000000004</v>
      </c>
      <c r="L139" s="5">
        <f>IF(K139&lt;'Параметры ПФ'!J$3+0.01,'Стандартные программы'!K139,ROUNDDOWN('Параметры ПФ'!J$3/IF(I139=0,J139,IF(J139&gt;I139,I139,J139)),0)*IF(I139=0,J139,IF(J139&gt;I139,I139,J139)))</f>
        <v>4613.6000000000004</v>
      </c>
      <c r="M139" s="4">
        <f t="shared" si="10"/>
        <v>175316.8</v>
      </c>
      <c r="N139" s="30">
        <f>IF(K139&lt;'Параметры ПФ'!J$3+0.01,E139*F139*G139,ROUNDDOWN('Параметры ПФ'!J$3/IF(I139=0,J139,IF(J139&gt;I139,I139,J139)),0)*G139)</f>
        <v>3040</v>
      </c>
      <c r="O139" s="25">
        <f t="shared" si="11"/>
        <v>0</v>
      </c>
    </row>
    <row r="140" spans="1:15" x14ac:dyDescent="0.3">
      <c r="A140" s="3" t="s">
        <v>180</v>
      </c>
      <c r="B140" s="3" t="s">
        <v>186</v>
      </c>
      <c r="C140" s="121" t="s">
        <v>5</v>
      </c>
      <c r="D140" s="18">
        <v>36</v>
      </c>
      <c r="E140" s="18">
        <v>16</v>
      </c>
      <c r="F140" s="19">
        <v>4</v>
      </c>
      <c r="G140" s="19">
        <v>20</v>
      </c>
      <c r="H140" s="97">
        <f t="shared" si="12"/>
        <v>64</v>
      </c>
      <c r="I140" s="20">
        <v>138.71</v>
      </c>
      <c r="J140" s="4">
        <f>HLOOKUP($C140,'Параметры ПФ'!$F$8:$K$13,6,FALSE)</f>
        <v>57.67</v>
      </c>
      <c r="K140" s="4">
        <f t="shared" si="9"/>
        <v>3690.88</v>
      </c>
      <c r="L140" s="5">
        <f>IF(K140&lt;'Параметры ПФ'!J$3+0.01,'Стандартные программы'!K140,ROUNDDOWN('Параметры ПФ'!J$3/IF(I140=0,J140,IF(J140&gt;I140,I140,J140)),0)*IF(I140=0,J140,IF(J140&gt;I140,I140,J140)))</f>
        <v>3690.88</v>
      </c>
      <c r="M140" s="4">
        <f t="shared" si="10"/>
        <v>73817.600000000006</v>
      </c>
      <c r="N140" s="30">
        <f>IF(K140&lt;'Параметры ПФ'!J$3+0.01,E140*F140*G140,ROUNDDOWN('Параметры ПФ'!J$3/IF(I140=0,J140,IF(J140&gt;I140,I140,J140)),0)*G140)</f>
        <v>1280</v>
      </c>
      <c r="O140" s="25">
        <f t="shared" si="11"/>
        <v>0</v>
      </c>
    </row>
    <row r="141" spans="1:15" x14ac:dyDescent="0.3">
      <c r="A141" s="3" t="s">
        <v>180</v>
      </c>
      <c r="B141" s="3" t="s">
        <v>186</v>
      </c>
      <c r="C141" s="121" t="s">
        <v>5</v>
      </c>
      <c r="D141" s="18">
        <v>36</v>
      </c>
      <c r="E141" s="18">
        <v>20</v>
      </c>
      <c r="F141" s="19">
        <v>4</v>
      </c>
      <c r="G141" s="19">
        <v>18</v>
      </c>
      <c r="H141" s="97">
        <f t="shared" si="12"/>
        <v>80</v>
      </c>
      <c r="I141" s="20">
        <v>138.71</v>
      </c>
      <c r="J141" s="4">
        <f>HLOOKUP($C141,'Параметры ПФ'!$F$8:$K$13,6,FALSE)</f>
        <v>57.67</v>
      </c>
      <c r="K141" s="4">
        <f t="shared" si="9"/>
        <v>4613.6000000000004</v>
      </c>
      <c r="L141" s="5">
        <f>IF(K141&lt;'Параметры ПФ'!J$3+0.01,'Стандартные программы'!K141,ROUNDDOWN('Параметры ПФ'!J$3/IF(I141=0,J141,IF(J141&gt;I141,I141,J141)),0)*IF(I141=0,J141,IF(J141&gt;I141,I141,J141)))</f>
        <v>4613.6000000000004</v>
      </c>
      <c r="M141" s="4">
        <f t="shared" si="10"/>
        <v>83044.800000000003</v>
      </c>
      <c r="N141" s="30">
        <f>IF(K141&lt;'Параметры ПФ'!J$3+0.01,E141*F141*G141,ROUNDDOWN('Параметры ПФ'!J$3/IF(I141=0,J141,IF(J141&gt;I141,I141,J141)),0)*G141)</f>
        <v>1440</v>
      </c>
      <c r="O141" s="25">
        <f t="shared" si="11"/>
        <v>0</v>
      </c>
    </row>
    <row r="142" spans="1:15" x14ac:dyDescent="0.3">
      <c r="A142" s="3" t="s">
        <v>180</v>
      </c>
      <c r="B142" s="3" t="s">
        <v>187</v>
      </c>
      <c r="C142" s="121" t="s">
        <v>7</v>
      </c>
      <c r="D142" s="18">
        <v>36</v>
      </c>
      <c r="E142" s="18">
        <v>16</v>
      </c>
      <c r="F142" s="19">
        <v>2</v>
      </c>
      <c r="G142" s="19">
        <v>20</v>
      </c>
      <c r="H142" s="97">
        <f t="shared" si="12"/>
        <v>32</v>
      </c>
      <c r="I142" s="20">
        <v>138.71</v>
      </c>
      <c r="J142" s="4">
        <f>HLOOKUP($C142,'Параметры ПФ'!$F$8:$K$13,6,FALSE)</f>
        <v>57.92</v>
      </c>
      <c r="K142" s="4">
        <f t="shared" si="9"/>
        <v>1853.44</v>
      </c>
      <c r="L142" s="5">
        <f>IF(K142&lt;'Параметры ПФ'!J$3+0.01,'Стандартные программы'!K142,ROUNDDOWN('Параметры ПФ'!J$3/IF(I142=0,J142,IF(J142&gt;I142,I142,J142)),0)*IF(I142=0,J142,IF(J142&gt;I142,I142,J142)))</f>
        <v>1853.44</v>
      </c>
      <c r="M142" s="4">
        <f t="shared" si="10"/>
        <v>37068.800000000003</v>
      </c>
      <c r="N142" s="30">
        <f>IF(K142&lt;'Параметры ПФ'!J$3+0.01,E142*F142*G142,ROUNDDOWN('Параметры ПФ'!J$3/IF(I142=0,J142,IF(J142&gt;I142,I142,J142)),0)*G142)</f>
        <v>640</v>
      </c>
      <c r="O142" s="25">
        <f t="shared" si="11"/>
        <v>0</v>
      </c>
    </row>
    <row r="143" spans="1:15" x14ac:dyDescent="0.3">
      <c r="A143" s="3" t="s">
        <v>180</v>
      </c>
      <c r="B143" s="3" t="s">
        <v>187</v>
      </c>
      <c r="C143" s="121" t="s">
        <v>7</v>
      </c>
      <c r="D143" s="18">
        <v>36</v>
      </c>
      <c r="E143" s="18">
        <v>20</v>
      </c>
      <c r="F143" s="19">
        <v>2</v>
      </c>
      <c r="G143" s="19">
        <v>18</v>
      </c>
      <c r="H143" s="97">
        <f t="shared" si="12"/>
        <v>40</v>
      </c>
      <c r="I143" s="20">
        <v>138.71</v>
      </c>
      <c r="J143" s="4">
        <f>HLOOKUP($C143,'Параметры ПФ'!$F$8:$K$13,6,FALSE)</f>
        <v>57.92</v>
      </c>
      <c r="K143" s="4">
        <f t="shared" si="9"/>
        <v>2316.8000000000002</v>
      </c>
      <c r="L143" s="5">
        <f>IF(K143&lt;'Параметры ПФ'!J$3+0.01,'Стандартные программы'!K143,ROUNDDOWN('Параметры ПФ'!J$3/IF(I143=0,J143,IF(J143&gt;I143,I143,J143)),0)*IF(I143=0,J143,IF(J143&gt;I143,I143,J143)))</f>
        <v>2316.8000000000002</v>
      </c>
      <c r="M143" s="4">
        <f t="shared" si="10"/>
        <v>41702.400000000001</v>
      </c>
      <c r="N143" s="30">
        <f>IF(K143&lt;'Параметры ПФ'!J$3+0.01,E143*F143*G143,ROUNDDOWN('Параметры ПФ'!J$3/IF(I143=0,J143,IF(J143&gt;I143,I143,J143)),0)*G143)</f>
        <v>720</v>
      </c>
      <c r="O143" s="25">
        <f t="shared" si="11"/>
        <v>0</v>
      </c>
    </row>
    <row r="144" spans="1:15" x14ac:dyDescent="0.3">
      <c r="A144" s="3" t="s">
        <v>180</v>
      </c>
      <c r="B144" s="3" t="s">
        <v>188</v>
      </c>
      <c r="C144" s="121" t="s">
        <v>7</v>
      </c>
      <c r="D144" s="18">
        <v>36</v>
      </c>
      <c r="E144" s="18">
        <v>16</v>
      </c>
      <c r="F144" s="19">
        <v>2</v>
      </c>
      <c r="G144" s="19">
        <v>20</v>
      </c>
      <c r="H144" s="97">
        <f t="shared" si="12"/>
        <v>32</v>
      </c>
      <c r="I144" s="20">
        <v>138.71</v>
      </c>
      <c r="J144" s="4">
        <f>HLOOKUP($C144,'Параметры ПФ'!$F$8:$K$13,6,FALSE)</f>
        <v>57.92</v>
      </c>
      <c r="K144" s="4">
        <f t="shared" si="9"/>
        <v>1853.44</v>
      </c>
      <c r="L144" s="5">
        <f>IF(K144&lt;'Параметры ПФ'!J$3+0.01,'Стандартные программы'!K144,ROUNDDOWN('Параметры ПФ'!J$3/IF(I144=0,J144,IF(J144&gt;I144,I144,J144)),0)*IF(I144=0,J144,IF(J144&gt;I144,I144,J144)))</f>
        <v>1853.44</v>
      </c>
      <c r="M144" s="4">
        <f t="shared" si="10"/>
        <v>37068.800000000003</v>
      </c>
      <c r="N144" s="30">
        <f>IF(K144&lt;'Параметры ПФ'!J$3+0.01,E144*F144*G144,ROUNDDOWN('Параметры ПФ'!J$3/IF(I144=0,J144,IF(J144&gt;I144,I144,J144)),0)*G144)</f>
        <v>640</v>
      </c>
      <c r="O144" s="25">
        <f t="shared" si="11"/>
        <v>0</v>
      </c>
    </row>
    <row r="145" spans="1:15" x14ac:dyDescent="0.3">
      <c r="A145" s="3" t="s">
        <v>180</v>
      </c>
      <c r="B145" s="3" t="s">
        <v>188</v>
      </c>
      <c r="C145" s="121" t="s">
        <v>7</v>
      </c>
      <c r="D145" s="18">
        <v>36</v>
      </c>
      <c r="E145" s="18">
        <v>20</v>
      </c>
      <c r="F145" s="19">
        <v>2</v>
      </c>
      <c r="G145" s="19">
        <v>18</v>
      </c>
      <c r="H145" s="97">
        <f t="shared" si="12"/>
        <v>40</v>
      </c>
      <c r="I145" s="20">
        <v>138.71</v>
      </c>
      <c r="J145" s="4">
        <f>HLOOKUP($C145,'Параметры ПФ'!$F$8:$K$13,6,FALSE)</f>
        <v>57.92</v>
      </c>
      <c r="K145" s="4">
        <f t="shared" si="9"/>
        <v>2316.8000000000002</v>
      </c>
      <c r="L145" s="5">
        <f>IF(K145&lt;'Параметры ПФ'!J$3+0.01,'Стандартные программы'!K145,ROUNDDOWN('Параметры ПФ'!J$3/IF(I145=0,J145,IF(J145&gt;I145,I145,J145)),0)*IF(I145=0,J145,IF(J145&gt;I145,I145,J145)))</f>
        <v>2316.8000000000002</v>
      </c>
      <c r="M145" s="4">
        <f t="shared" si="10"/>
        <v>41702.400000000001</v>
      </c>
      <c r="N145" s="30">
        <f>IF(K145&lt;'Параметры ПФ'!J$3+0.01,E145*F145*G145,ROUNDDOWN('Параметры ПФ'!J$3/IF(I145=0,J145,IF(J145&gt;I145,I145,J145)),0)*G145)</f>
        <v>720</v>
      </c>
      <c r="O145" s="25">
        <f t="shared" si="11"/>
        <v>0</v>
      </c>
    </row>
    <row r="146" spans="1:15" x14ac:dyDescent="0.3">
      <c r="A146" s="3" t="s">
        <v>180</v>
      </c>
      <c r="B146" s="3" t="s">
        <v>189</v>
      </c>
      <c r="C146" s="121" t="s">
        <v>7</v>
      </c>
      <c r="D146" s="18">
        <v>36</v>
      </c>
      <c r="E146" s="18">
        <v>16</v>
      </c>
      <c r="F146" s="19">
        <v>4</v>
      </c>
      <c r="G146" s="19">
        <v>20</v>
      </c>
      <c r="H146" s="97">
        <f t="shared" si="12"/>
        <v>64</v>
      </c>
      <c r="I146" s="20">
        <v>138.71</v>
      </c>
      <c r="J146" s="4">
        <f>HLOOKUP($C146,'Параметры ПФ'!$F$8:$K$13,6,FALSE)</f>
        <v>57.92</v>
      </c>
      <c r="K146" s="4">
        <f t="shared" si="9"/>
        <v>3706.88</v>
      </c>
      <c r="L146" s="5">
        <f>IF(K146&lt;'Параметры ПФ'!J$3+0.01,'Стандартные программы'!K146,ROUNDDOWN('Параметры ПФ'!J$3/IF(I146=0,J146,IF(J146&gt;I146,I146,J146)),0)*IF(I146=0,J146,IF(J146&gt;I146,I146,J146)))</f>
        <v>3706.88</v>
      </c>
      <c r="M146" s="4">
        <f t="shared" si="10"/>
        <v>74137.600000000006</v>
      </c>
      <c r="N146" s="30">
        <f>IF(K146&lt;'Параметры ПФ'!J$3+0.01,E146*F146*G146,ROUNDDOWN('Параметры ПФ'!J$3/IF(I146=0,J146,IF(J146&gt;I146,I146,J146)),0)*G146)</f>
        <v>1280</v>
      </c>
      <c r="O146" s="25">
        <f t="shared" si="11"/>
        <v>0</v>
      </c>
    </row>
    <row r="147" spans="1:15" x14ac:dyDescent="0.3">
      <c r="A147" s="3" t="s">
        <v>180</v>
      </c>
      <c r="B147" s="3" t="s">
        <v>189</v>
      </c>
      <c r="C147" s="121" t="s">
        <v>7</v>
      </c>
      <c r="D147" s="18">
        <v>36</v>
      </c>
      <c r="E147" s="18">
        <v>20</v>
      </c>
      <c r="F147" s="19">
        <v>4</v>
      </c>
      <c r="G147" s="19">
        <v>18</v>
      </c>
      <c r="H147" s="97">
        <f t="shared" si="12"/>
        <v>80</v>
      </c>
      <c r="I147" s="20">
        <v>138.71</v>
      </c>
      <c r="J147" s="4">
        <f>HLOOKUP($C147,'Параметры ПФ'!$F$8:$K$13,6,FALSE)</f>
        <v>57.92</v>
      </c>
      <c r="K147" s="4">
        <f t="shared" si="9"/>
        <v>4633.6000000000004</v>
      </c>
      <c r="L147" s="5">
        <f>IF(K147&lt;'Параметры ПФ'!J$3+0.01,'Стандартные программы'!K147,ROUNDDOWN('Параметры ПФ'!J$3/IF(I147=0,J147,IF(J147&gt;I147,I147,J147)),0)*IF(I147=0,J147,IF(J147&gt;I147,I147,J147)))</f>
        <v>4633.6000000000004</v>
      </c>
      <c r="M147" s="4">
        <f t="shared" si="10"/>
        <v>83404.800000000003</v>
      </c>
      <c r="N147" s="30">
        <f>IF(K147&lt;'Параметры ПФ'!J$3+0.01,E147*F147*G147,ROUNDDOWN('Параметры ПФ'!J$3/IF(I147=0,J147,IF(J147&gt;I147,I147,J147)),0)*G147)</f>
        <v>1440</v>
      </c>
      <c r="O147" s="25">
        <f t="shared" si="11"/>
        <v>0</v>
      </c>
    </row>
    <row r="148" spans="1:15" x14ac:dyDescent="0.3">
      <c r="A148" s="3" t="s">
        <v>180</v>
      </c>
      <c r="B148" s="3" t="s">
        <v>190</v>
      </c>
      <c r="C148" s="121" t="s">
        <v>7</v>
      </c>
      <c r="D148" s="18">
        <v>36</v>
      </c>
      <c r="E148" s="18">
        <v>16</v>
      </c>
      <c r="F148" s="19">
        <v>4</v>
      </c>
      <c r="G148" s="134">
        <f>20+50</f>
        <v>70</v>
      </c>
      <c r="H148" s="97">
        <f t="shared" si="12"/>
        <v>64</v>
      </c>
      <c r="I148" s="20">
        <v>138.71</v>
      </c>
      <c r="J148" s="4">
        <f>HLOOKUP($C148,'Параметры ПФ'!$F$8:$K$13,6,FALSE)</f>
        <v>57.92</v>
      </c>
      <c r="K148" s="4">
        <f t="shared" si="9"/>
        <v>3706.88</v>
      </c>
      <c r="L148" s="5">
        <f>IF(K148&lt;'Параметры ПФ'!J$3+0.01,'Стандартные программы'!K148,ROUNDDOWN('Параметры ПФ'!J$3/IF(I148=0,J148,IF(J148&gt;I148,I148,J148)),0)*IF(I148=0,J148,IF(J148&gt;I148,I148,J148)))</f>
        <v>3706.88</v>
      </c>
      <c r="M148" s="4">
        <f t="shared" si="10"/>
        <v>259481.60000000001</v>
      </c>
      <c r="N148" s="30">
        <f>IF(K148&lt;'Параметры ПФ'!J$3+0.01,E148*F148*G148,ROUNDDOWN('Параметры ПФ'!J$3/IF(I148=0,J148,IF(J148&gt;I148,I148,J148)),0)*G148)</f>
        <v>4480</v>
      </c>
      <c r="O148" s="25">
        <f t="shared" si="11"/>
        <v>0</v>
      </c>
    </row>
    <row r="149" spans="1:15" x14ac:dyDescent="0.3">
      <c r="A149" s="3" t="s">
        <v>180</v>
      </c>
      <c r="B149" s="3" t="s">
        <v>190</v>
      </c>
      <c r="C149" s="121" t="s">
        <v>7</v>
      </c>
      <c r="D149" s="18">
        <v>36</v>
      </c>
      <c r="E149" s="18">
        <v>20</v>
      </c>
      <c r="F149" s="19">
        <v>4</v>
      </c>
      <c r="G149" s="134">
        <f>20+50</f>
        <v>70</v>
      </c>
      <c r="H149" s="97">
        <f t="shared" si="12"/>
        <v>80</v>
      </c>
      <c r="I149" s="20">
        <v>138.71</v>
      </c>
      <c r="J149" s="4">
        <f>HLOOKUP($C149,'Параметры ПФ'!$F$8:$K$13,6,FALSE)</f>
        <v>57.92</v>
      </c>
      <c r="K149" s="4">
        <f t="shared" si="9"/>
        <v>4633.6000000000004</v>
      </c>
      <c r="L149" s="5">
        <f>IF(K149&lt;'Параметры ПФ'!J$3+0.01,'Стандартные программы'!K149,ROUNDDOWN('Параметры ПФ'!J$3/IF(I149=0,J149,IF(J149&gt;I149,I149,J149)),0)*IF(I149=0,J149,IF(J149&gt;I149,I149,J149)))</f>
        <v>4633.6000000000004</v>
      </c>
      <c r="M149" s="4">
        <f t="shared" si="10"/>
        <v>324352</v>
      </c>
      <c r="N149" s="30">
        <f>IF(K149&lt;'Параметры ПФ'!J$3+0.01,E149*F149*G149,ROUNDDOWN('Параметры ПФ'!J$3/IF(I149=0,J149,IF(J149&gt;I149,I149,J149)),0)*G149)</f>
        <v>5600</v>
      </c>
      <c r="O149" s="25">
        <f t="shared" si="11"/>
        <v>0</v>
      </c>
    </row>
    <row r="150" spans="1:15" x14ac:dyDescent="0.3">
      <c r="A150" s="3" t="s">
        <v>180</v>
      </c>
      <c r="B150" s="3" t="s">
        <v>191</v>
      </c>
      <c r="C150" s="121" t="s">
        <v>4</v>
      </c>
      <c r="D150" s="18">
        <v>36</v>
      </c>
      <c r="E150" s="18">
        <v>16</v>
      </c>
      <c r="F150" s="19">
        <v>4</v>
      </c>
      <c r="G150" s="19">
        <v>38</v>
      </c>
      <c r="H150" s="97">
        <f t="shared" si="12"/>
        <v>64</v>
      </c>
      <c r="I150" s="20">
        <v>138.71</v>
      </c>
      <c r="J150" s="4">
        <f>HLOOKUP($C150,'Параметры ПФ'!$F$8:$K$13,6,FALSE)</f>
        <v>57.62</v>
      </c>
      <c r="K150" s="4">
        <f t="shared" si="9"/>
        <v>3687.68</v>
      </c>
      <c r="L150" s="5">
        <f>IF(K150&lt;'Параметры ПФ'!J$3+0.01,'Стандартные программы'!K150,ROUNDDOWN('Параметры ПФ'!J$3/IF(I150=0,J150,IF(J150&gt;I150,I150,J150)),0)*IF(I150=0,J150,IF(J150&gt;I150,I150,J150)))</f>
        <v>3687.68</v>
      </c>
      <c r="M150" s="4">
        <f t="shared" si="10"/>
        <v>140131.84</v>
      </c>
      <c r="N150" s="30">
        <f>IF(K150&lt;'Параметры ПФ'!J$3+0.01,E150*F150*G150,ROUNDDOWN('Параметры ПФ'!J$3/IF(I150=0,J150,IF(J150&gt;I150,I150,J150)),0)*G150)</f>
        <v>2432</v>
      </c>
      <c r="O150" s="25">
        <f t="shared" si="11"/>
        <v>0</v>
      </c>
    </row>
    <row r="151" spans="1:15" x14ac:dyDescent="0.3">
      <c r="A151" s="3" t="s">
        <v>180</v>
      </c>
      <c r="B151" s="3" t="s">
        <v>191</v>
      </c>
      <c r="C151" s="121" t="s">
        <v>4</v>
      </c>
      <c r="D151" s="18">
        <v>36</v>
      </c>
      <c r="E151" s="18">
        <v>20</v>
      </c>
      <c r="F151" s="19">
        <v>4</v>
      </c>
      <c r="G151" s="19">
        <v>34</v>
      </c>
      <c r="H151" s="97">
        <f t="shared" si="12"/>
        <v>80</v>
      </c>
      <c r="I151" s="20">
        <v>138.71</v>
      </c>
      <c r="J151" s="4">
        <f>HLOOKUP($C151,'Параметры ПФ'!$F$8:$K$13,6,FALSE)</f>
        <v>57.62</v>
      </c>
      <c r="K151" s="4">
        <f t="shared" si="9"/>
        <v>4609.6000000000004</v>
      </c>
      <c r="L151" s="5">
        <f>IF(K151&lt;'Параметры ПФ'!J$3+0.01,'Стандартные программы'!K151,ROUNDDOWN('Параметры ПФ'!J$3/IF(I151=0,J151,IF(J151&gt;I151,I151,J151)),0)*IF(I151=0,J151,IF(J151&gt;I151,I151,J151)))</f>
        <v>4609.6000000000004</v>
      </c>
      <c r="M151" s="4">
        <f t="shared" si="10"/>
        <v>156726.39999999999</v>
      </c>
      <c r="N151" s="30">
        <f>IF(K151&lt;'Параметры ПФ'!J$3+0.01,E151*F151*G151,ROUNDDOWN('Параметры ПФ'!J$3/IF(I151=0,J151,IF(J151&gt;I151,I151,J151)),0)*G151)</f>
        <v>2720</v>
      </c>
      <c r="O151" s="25">
        <f t="shared" si="11"/>
        <v>0</v>
      </c>
    </row>
    <row r="152" spans="1:15" x14ac:dyDescent="0.3">
      <c r="A152" s="3" t="s">
        <v>180</v>
      </c>
      <c r="B152" s="3" t="s">
        <v>192</v>
      </c>
      <c r="C152" s="121" t="s">
        <v>43</v>
      </c>
      <c r="D152" s="18">
        <v>36</v>
      </c>
      <c r="E152" s="18">
        <v>16</v>
      </c>
      <c r="F152" s="19">
        <v>4</v>
      </c>
      <c r="G152" s="19">
        <v>20</v>
      </c>
      <c r="H152" s="97">
        <f t="shared" si="12"/>
        <v>64</v>
      </c>
      <c r="I152" s="20">
        <v>138.71</v>
      </c>
      <c r="J152" s="4">
        <f>HLOOKUP($C152,'Параметры ПФ'!$F$8:$K$13,6,FALSE)</f>
        <v>56.35</v>
      </c>
      <c r="K152" s="4">
        <f t="shared" si="9"/>
        <v>3606.4</v>
      </c>
      <c r="L152" s="5">
        <f>IF(K152&lt;'Параметры ПФ'!J$3+0.01,'Стандартные программы'!K152,ROUNDDOWN('Параметры ПФ'!J$3/IF(I152=0,J152,IF(J152&gt;I152,I152,J152)),0)*IF(I152=0,J152,IF(J152&gt;I152,I152,J152)))</f>
        <v>3606.4</v>
      </c>
      <c r="M152" s="4">
        <f t="shared" si="10"/>
        <v>72128</v>
      </c>
      <c r="N152" s="30">
        <f>IF(K152&lt;'Параметры ПФ'!J$3+0.01,E152*F152*G152,ROUNDDOWN('Параметры ПФ'!J$3/IF(I152=0,J152,IF(J152&gt;I152,I152,J152)),0)*G152)</f>
        <v>1280</v>
      </c>
      <c r="O152" s="25">
        <f t="shared" si="11"/>
        <v>0</v>
      </c>
    </row>
    <row r="153" spans="1:15" x14ac:dyDescent="0.3">
      <c r="A153" s="3" t="s">
        <v>180</v>
      </c>
      <c r="B153" s="3" t="s">
        <v>192</v>
      </c>
      <c r="C153" s="121" t="s">
        <v>43</v>
      </c>
      <c r="D153" s="18">
        <v>36</v>
      </c>
      <c r="E153" s="18">
        <v>20</v>
      </c>
      <c r="F153" s="19">
        <v>4</v>
      </c>
      <c r="G153" s="19">
        <v>18</v>
      </c>
      <c r="H153" s="97">
        <f t="shared" si="12"/>
        <v>80</v>
      </c>
      <c r="I153" s="20">
        <v>138.71</v>
      </c>
      <c r="J153" s="4">
        <f>HLOOKUP($C153,'Параметры ПФ'!$F$8:$K$13,6,FALSE)</f>
        <v>56.35</v>
      </c>
      <c r="K153" s="4">
        <f t="shared" si="9"/>
        <v>4508</v>
      </c>
      <c r="L153" s="5">
        <f>IF(K153&lt;'Параметры ПФ'!J$3+0.01,'Стандартные программы'!K153,ROUNDDOWN('Параметры ПФ'!J$3/IF(I153=0,J153,IF(J153&gt;I153,I153,J153)),0)*IF(I153=0,J153,IF(J153&gt;I153,I153,J153)))</f>
        <v>4508</v>
      </c>
      <c r="M153" s="4">
        <f t="shared" si="10"/>
        <v>81144</v>
      </c>
      <c r="N153" s="30">
        <f>IF(K153&lt;'Параметры ПФ'!J$3+0.01,E153*F153*G153,ROUNDDOWN('Параметры ПФ'!J$3/IF(I153=0,J153,IF(J153&gt;I153,I153,J153)),0)*G153)</f>
        <v>1440</v>
      </c>
      <c r="O153" s="25">
        <f t="shared" si="11"/>
        <v>0</v>
      </c>
    </row>
    <row r="154" spans="1:15" x14ac:dyDescent="0.3">
      <c r="A154" s="3" t="s">
        <v>193</v>
      </c>
      <c r="B154" s="3" t="s">
        <v>194</v>
      </c>
      <c r="C154" s="121" t="s">
        <v>7</v>
      </c>
      <c r="D154" s="18">
        <v>36</v>
      </c>
      <c r="E154" s="18">
        <v>17</v>
      </c>
      <c r="F154" s="18">
        <v>4</v>
      </c>
      <c r="G154" s="19">
        <v>40</v>
      </c>
      <c r="H154" s="97">
        <f t="shared" si="12"/>
        <v>68</v>
      </c>
      <c r="I154" s="20">
        <v>56.5</v>
      </c>
      <c r="J154" s="4">
        <f>HLOOKUP($C154,'Параметры ПФ'!$F$8:$K$13,6,FALSE)</f>
        <v>57.92</v>
      </c>
      <c r="K154" s="4">
        <f t="shared" si="9"/>
        <v>3842</v>
      </c>
      <c r="L154" s="5">
        <f>IF(K154&lt;'Параметры ПФ'!J$3+0.01,'Стандартные программы'!K154,ROUNDDOWN('Параметры ПФ'!J$3/IF(I154=0,J154,IF(J154&gt;I154,I154,J154)),0)*IF(I154=0,J154,IF(J154&gt;I154,I154,J154)))</f>
        <v>3842</v>
      </c>
      <c r="M154" s="4">
        <f t="shared" si="10"/>
        <v>153680</v>
      </c>
      <c r="N154" s="30">
        <f>IF(K154&lt;'Параметры ПФ'!J$3+0.01,E154*F154*G154,ROUNDDOWN('Параметры ПФ'!J$3/IF(I154=0,J154,IF(J154&gt;I154,I154,J154)),0)*G154)</f>
        <v>2720</v>
      </c>
      <c r="O154" s="25">
        <f t="shared" si="11"/>
        <v>0</v>
      </c>
    </row>
    <row r="155" spans="1:15" x14ac:dyDescent="0.3">
      <c r="A155" s="3" t="s">
        <v>193</v>
      </c>
      <c r="B155" s="3" t="s">
        <v>195</v>
      </c>
      <c r="C155" s="121" t="s">
        <v>7</v>
      </c>
      <c r="D155" s="18">
        <v>36</v>
      </c>
      <c r="E155" s="18">
        <v>17</v>
      </c>
      <c r="F155" s="18">
        <v>4</v>
      </c>
      <c r="G155" s="19">
        <v>32</v>
      </c>
      <c r="H155" s="97">
        <f t="shared" si="12"/>
        <v>68</v>
      </c>
      <c r="I155" s="20">
        <v>56.5</v>
      </c>
      <c r="J155" s="4">
        <f>HLOOKUP($C155,'Параметры ПФ'!$F$8:$K$13,6,FALSE)</f>
        <v>57.92</v>
      </c>
      <c r="K155" s="4">
        <f t="shared" si="9"/>
        <v>3842</v>
      </c>
      <c r="L155" s="5">
        <f>IF(K155&lt;'Параметры ПФ'!J$3+0.01,'Стандартные программы'!K155,ROUNDDOWN('Параметры ПФ'!J$3/IF(I155=0,J155,IF(J155&gt;I155,I155,J155)),0)*IF(I155=0,J155,IF(J155&gt;I155,I155,J155)))</f>
        <v>3842</v>
      </c>
      <c r="M155" s="4">
        <f t="shared" si="10"/>
        <v>122944</v>
      </c>
      <c r="N155" s="30">
        <f>IF(K155&lt;'Параметры ПФ'!J$3+0.01,E155*F155*G155,ROUNDDOWN('Параметры ПФ'!J$3/IF(I155=0,J155,IF(J155&gt;I155,I155,J155)),0)*G155)</f>
        <v>2176</v>
      </c>
      <c r="O155" s="25">
        <f t="shared" si="11"/>
        <v>0</v>
      </c>
    </row>
    <row r="156" spans="1:15" x14ac:dyDescent="0.3">
      <c r="A156" s="3" t="s">
        <v>193</v>
      </c>
      <c r="B156" s="3" t="s">
        <v>30</v>
      </c>
      <c r="C156" s="121" t="s">
        <v>7</v>
      </c>
      <c r="D156" s="18">
        <v>36</v>
      </c>
      <c r="E156" s="18">
        <v>17</v>
      </c>
      <c r="F156" s="18">
        <v>4</v>
      </c>
      <c r="G156" s="19">
        <f>30</f>
        <v>30</v>
      </c>
      <c r="H156" s="97">
        <f t="shared" si="12"/>
        <v>68</v>
      </c>
      <c r="I156" s="20">
        <v>56.5</v>
      </c>
      <c r="J156" s="4">
        <f>HLOOKUP($C156,'Параметры ПФ'!$F$8:$K$13,6,FALSE)</f>
        <v>57.92</v>
      </c>
      <c r="K156" s="4">
        <f t="shared" si="9"/>
        <v>3842</v>
      </c>
      <c r="L156" s="5">
        <f>IF(K156&lt;'Параметры ПФ'!J$3+0.01,'Стандартные программы'!K156,ROUNDDOWN('Параметры ПФ'!J$3/IF(I156=0,J156,IF(J156&gt;I156,I156,J156)),0)*IF(I156=0,J156,IF(J156&gt;I156,I156,J156)))</f>
        <v>3842</v>
      </c>
      <c r="M156" s="4">
        <f t="shared" si="10"/>
        <v>115260</v>
      </c>
      <c r="N156" s="30">
        <f>IF(K156&lt;'Параметры ПФ'!J$3+0.01,E156*F156*G156,ROUNDDOWN('Параметры ПФ'!J$3/IF(I156=0,J156,IF(J156&gt;I156,I156,J156)),0)*G156)</f>
        <v>2040</v>
      </c>
      <c r="O156" s="25">
        <f t="shared" si="11"/>
        <v>0</v>
      </c>
    </row>
    <row r="157" spans="1:15" x14ac:dyDescent="0.3">
      <c r="A157" s="3" t="s">
        <v>193</v>
      </c>
      <c r="B157" s="3" t="s">
        <v>196</v>
      </c>
      <c r="C157" s="121" t="s">
        <v>7</v>
      </c>
      <c r="D157" s="18">
        <v>36</v>
      </c>
      <c r="E157" s="18">
        <v>17</v>
      </c>
      <c r="F157" s="18">
        <v>4</v>
      </c>
      <c r="G157" s="19">
        <v>60</v>
      </c>
      <c r="H157" s="97">
        <f t="shared" si="12"/>
        <v>68</v>
      </c>
      <c r="I157" s="20">
        <v>56.5</v>
      </c>
      <c r="J157" s="4">
        <f>HLOOKUP($C157,'Параметры ПФ'!$F$8:$K$13,6,FALSE)</f>
        <v>57.92</v>
      </c>
      <c r="K157" s="4">
        <f t="shared" si="9"/>
        <v>3842</v>
      </c>
      <c r="L157" s="5">
        <f>IF(K157&lt;'Параметры ПФ'!J$3+0.01,'Стандартные программы'!K157,ROUNDDOWN('Параметры ПФ'!J$3/IF(I157=0,J157,IF(J157&gt;I157,I157,J157)),0)*IF(I157=0,J157,IF(J157&gt;I157,I157,J157)))</f>
        <v>3842</v>
      </c>
      <c r="M157" s="4">
        <f t="shared" si="10"/>
        <v>230520</v>
      </c>
      <c r="N157" s="30">
        <f>IF(K157&lt;'Параметры ПФ'!J$3+0.01,E157*F157*G157,ROUNDDOWN('Параметры ПФ'!J$3/IF(I157=0,J157,IF(J157&gt;I157,I157,J157)),0)*G157)</f>
        <v>4080</v>
      </c>
      <c r="O157" s="25">
        <f t="shared" si="11"/>
        <v>0</v>
      </c>
    </row>
    <row r="158" spans="1:15" x14ac:dyDescent="0.3">
      <c r="A158" s="3" t="s">
        <v>193</v>
      </c>
      <c r="B158" s="3" t="s">
        <v>174</v>
      </c>
      <c r="C158" s="121" t="s">
        <v>7</v>
      </c>
      <c r="D158" s="18">
        <v>36</v>
      </c>
      <c r="E158" s="18">
        <v>17</v>
      </c>
      <c r="F158" s="18">
        <v>4</v>
      </c>
      <c r="G158" s="19">
        <v>80</v>
      </c>
      <c r="H158" s="97">
        <f t="shared" si="12"/>
        <v>68</v>
      </c>
      <c r="I158" s="20">
        <v>56.5</v>
      </c>
      <c r="J158" s="4">
        <f>HLOOKUP($C158,'Параметры ПФ'!$F$8:$K$13,6,FALSE)</f>
        <v>57.92</v>
      </c>
      <c r="K158" s="4">
        <f t="shared" si="9"/>
        <v>3842</v>
      </c>
      <c r="L158" s="5">
        <f>IF(K158&lt;'Параметры ПФ'!J$3+0.01,'Стандартные программы'!K158,ROUNDDOWN('Параметры ПФ'!J$3/IF(I158=0,J158,IF(J158&gt;I158,I158,J158)),0)*IF(I158=0,J158,IF(J158&gt;I158,I158,J158)))</f>
        <v>3842</v>
      </c>
      <c r="M158" s="4">
        <f t="shared" si="10"/>
        <v>307360</v>
      </c>
      <c r="N158" s="30">
        <f>IF(K158&lt;'Параметры ПФ'!J$3+0.01,E158*F158*G158,ROUNDDOWN('Параметры ПФ'!J$3/IF(I158=0,J158,IF(J158&gt;I158,I158,J158)),0)*G158)</f>
        <v>5440</v>
      </c>
      <c r="O158" s="25">
        <f t="shared" si="11"/>
        <v>0</v>
      </c>
    </row>
    <row r="159" spans="1:15" x14ac:dyDescent="0.3">
      <c r="A159" s="3" t="s">
        <v>193</v>
      </c>
      <c r="B159" s="3" t="s">
        <v>197</v>
      </c>
      <c r="C159" s="121" t="s">
        <v>7</v>
      </c>
      <c r="D159" s="18">
        <v>36</v>
      </c>
      <c r="E159" s="18">
        <v>17</v>
      </c>
      <c r="F159" s="18">
        <v>4</v>
      </c>
      <c r="G159" s="134">
        <f>30+50</f>
        <v>80</v>
      </c>
      <c r="H159" s="97">
        <f t="shared" si="12"/>
        <v>68</v>
      </c>
      <c r="I159" s="20">
        <v>56.5</v>
      </c>
      <c r="J159" s="4">
        <f>HLOOKUP($C159,'Параметры ПФ'!$F$8:$K$13,6,FALSE)</f>
        <v>57.92</v>
      </c>
      <c r="K159" s="4">
        <f t="shared" si="9"/>
        <v>3842</v>
      </c>
      <c r="L159" s="5">
        <f>IF(K159&lt;'Параметры ПФ'!J$3+0.01,'Стандартные программы'!K159,ROUNDDOWN('Параметры ПФ'!J$3/IF(I159=0,J159,IF(J159&gt;I159,I159,J159)),0)*IF(I159=0,J159,IF(J159&gt;I159,I159,J159)))</f>
        <v>3842</v>
      </c>
      <c r="M159" s="4">
        <f t="shared" si="10"/>
        <v>307360</v>
      </c>
      <c r="N159" s="30">
        <f>IF(K159&lt;'Параметры ПФ'!J$3+0.01,E159*F159*G159,ROUNDDOWN('Параметры ПФ'!J$3/IF(I159=0,J159,IF(J159&gt;I159,I159,J159)),0)*G159)</f>
        <v>5440</v>
      </c>
      <c r="O159" s="25">
        <f t="shared" si="11"/>
        <v>0</v>
      </c>
    </row>
    <row r="160" spans="1:15" x14ac:dyDescent="0.3">
      <c r="A160" s="3" t="s">
        <v>193</v>
      </c>
      <c r="B160" s="3" t="s">
        <v>198</v>
      </c>
      <c r="C160" s="121" t="s">
        <v>7</v>
      </c>
      <c r="D160" s="18">
        <v>36</v>
      </c>
      <c r="E160" s="18">
        <v>17</v>
      </c>
      <c r="F160" s="18">
        <v>4</v>
      </c>
      <c r="G160" s="19">
        <f>80</f>
        <v>80</v>
      </c>
      <c r="H160" s="97">
        <f>E160*F160</f>
        <v>68</v>
      </c>
      <c r="I160" s="20">
        <v>56.5</v>
      </c>
      <c r="J160" s="4">
        <f>HLOOKUP($C160,'Параметры ПФ'!$F$8:$K$13,6,FALSE)</f>
        <v>57.92</v>
      </c>
      <c r="K160" s="4">
        <f t="shared" si="9"/>
        <v>3842</v>
      </c>
      <c r="L160" s="5">
        <f>IF(K160&lt;'Параметры ПФ'!J$3+0.01,'Стандартные программы'!K160,ROUNDDOWN('Параметры ПФ'!J$3/IF(I160=0,J160,IF(J160&gt;I160,I160,J160)),0)*IF(I160=0,J160,IF(J160&gt;I160,I160,J160)))</f>
        <v>3842</v>
      </c>
      <c r="M160" s="4">
        <f t="shared" si="10"/>
        <v>307360</v>
      </c>
      <c r="N160" s="30">
        <f>IF(K160&lt;'Параметры ПФ'!J$3+0.01,E160*F160*G160,ROUNDDOWN('Параметры ПФ'!J$3/IF(I160=0,J160,IF(J160&gt;I160,I160,J160)),0)*G160)</f>
        <v>5440</v>
      </c>
      <c r="O160" s="25">
        <f t="shared" si="11"/>
        <v>0</v>
      </c>
    </row>
    <row r="161" spans="1:15" x14ac:dyDescent="0.3">
      <c r="A161" s="138"/>
      <c r="B161" s="138"/>
      <c r="C161" s="138"/>
      <c r="D161" s="138"/>
      <c r="E161" s="138"/>
      <c r="F161" s="138"/>
      <c r="G161" s="6">
        <f>SUM(G2:G160)</f>
        <v>4324</v>
      </c>
      <c r="H161" s="6">
        <f>SUM(H2:H160)</f>
        <v>9999</v>
      </c>
      <c r="I161" s="7" t="s">
        <v>31</v>
      </c>
      <c r="J161" s="8" t="s">
        <v>31</v>
      </c>
      <c r="K161" s="7" t="s">
        <v>31</v>
      </c>
      <c r="L161" s="8" t="s">
        <v>31</v>
      </c>
      <c r="M161" s="31">
        <f>SUM(M2:M160)</f>
        <v>15588304.640000001</v>
      </c>
      <c r="N161" s="32">
        <f>SUM(N2:N160)</f>
        <v>271360</v>
      </c>
      <c r="O161" s="26" t="s">
        <v>31</v>
      </c>
    </row>
    <row r="162" spans="1:15" x14ac:dyDescent="0.3">
      <c r="G162" s="17"/>
      <c r="H162" s="17"/>
      <c r="J162" s="156"/>
      <c r="K162" s="156"/>
      <c r="L162" s="156"/>
    </row>
    <row r="163" spans="1:15" x14ac:dyDescent="0.3">
      <c r="K163" s="157"/>
      <c r="L163" s="157"/>
      <c r="M163" s="21"/>
      <c r="N163" s="21"/>
    </row>
  </sheetData>
  <mergeCells count="3">
    <mergeCell ref="A161:F161"/>
    <mergeCell ref="J162:L162"/>
    <mergeCell ref="K163:L163"/>
  </mergeCells>
  <phoneticPr fontId="7" type="noConversion"/>
  <conditionalFormatting sqref="O130:O160">
    <cfRule type="cellIs" dxfId="4" priority="1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greaterThan" id="{7F9B028B-6BC4-484A-915D-E8B2B5908506}">
            <xm:f>'Параметры ПФ'!$K$3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N2:N22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80" zoomScaleNormal="80" workbookViewId="0">
      <selection activeCell="I16" sqref="I16"/>
    </sheetView>
  </sheetViews>
  <sheetFormatPr defaultRowHeight="15.6" x14ac:dyDescent="0.3"/>
  <cols>
    <col min="1" max="1" width="13.3984375" customWidth="1"/>
    <col min="2" max="2" width="19" customWidth="1"/>
    <col min="3" max="3" width="19.19921875" customWidth="1"/>
    <col min="8" max="8" width="6.3984375" hidden="1" customWidth="1"/>
    <col min="9" max="9" width="12.8984375" customWidth="1"/>
    <col min="11" max="13" width="12.59765625" customWidth="1"/>
    <col min="15" max="15" width="13.69921875" customWidth="1"/>
  </cols>
  <sheetData>
    <row r="1" spans="1:15" ht="109.2" x14ac:dyDescent="0.3">
      <c r="A1" s="13" t="s">
        <v>26</v>
      </c>
      <c r="B1" s="13" t="s">
        <v>27</v>
      </c>
      <c r="C1" s="13" t="s">
        <v>9</v>
      </c>
      <c r="D1" s="14" t="s">
        <v>8</v>
      </c>
      <c r="E1" s="14" t="s">
        <v>46</v>
      </c>
      <c r="F1" s="14" t="s">
        <v>32</v>
      </c>
      <c r="G1" s="14" t="s">
        <v>28</v>
      </c>
      <c r="H1" s="14"/>
      <c r="I1" s="15" t="s">
        <v>33</v>
      </c>
      <c r="J1" s="16" t="s">
        <v>29</v>
      </c>
      <c r="K1" s="16" t="s">
        <v>47</v>
      </c>
      <c r="L1" s="28" t="s">
        <v>48</v>
      </c>
      <c r="M1" s="16" t="s">
        <v>37</v>
      </c>
      <c r="N1" s="16" t="s">
        <v>54</v>
      </c>
      <c r="O1" s="24" t="s">
        <v>49</v>
      </c>
    </row>
    <row r="2" spans="1:15" x14ac:dyDescent="0.3">
      <c r="A2" s="3" t="s">
        <v>82</v>
      </c>
      <c r="B2" s="3" t="s">
        <v>199</v>
      </c>
      <c r="C2" s="3" t="s">
        <v>5</v>
      </c>
      <c r="D2" s="18">
        <v>36</v>
      </c>
      <c r="E2" s="18">
        <v>16</v>
      </c>
      <c r="F2" s="19">
        <v>2</v>
      </c>
      <c r="G2" s="19">
        <v>3</v>
      </c>
      <c r="H2" s="19">
        <f>D2*F2</f>
        <v>72</v>
      </c>
      <c r="I2" s="20">
        <v>108.6</v>
      </c>
      <c r="J2" s="4">
        <f>HLOOKUP($C2,'Параметры ПФ'!$F$8:$K$13,6,FALSE)*'Параметры ПФ'!$G$22</f>
        <v>57.67</v>
      </c>
      <c r="K2" s="4">
        <f t="shared" ref="K2" si="0">IF(I2=0,J2*F2*E2,IF(J2&gt;I2,I2*F2*E2,J2*F2*E2))</f>
        <v>1845.44</v>
      </c>
      <c r="L2" s="5">
        <f>IF(K2&lt;'Параметры ПФ'!$L$3+0.01,'Адаптированные программы'!K2,ROUNDDOWN('Параметры ПФ'!$L$3/IF(I2=0,J2,IF(J2&gt;I2,I2,J2)),0)*IF(I2=0,J2,IF(J2&gt;I2,I2,J2)))</f>
        <v>1845.44</v>
      </c>
      <c r="M2" s="4">
        <f t="shared" ref="M2" si="1">L2*G2</f>
        <v>5536.32</v>
      </c>
      <c r="N2" s="33">
        <f>IF(K2&lt;'Параметры ПФ'!$L$3+0.01,E2*F2*G2,ROUNDDOWN('Параметры ПФ'!$L$3/IF(I2=0,J2,IF(J2&gt;I2,I2,J2)),0)*G2)</f>
        <v>96</v>
      </c>
      <c r="O2" s="25">
        <f>IF(I2=0,J2*F2*E2,IF(J2&gt;I2,I2*F2*E2,J2*F2*E2))-L2</f>
        <v>0</v>
      </c>
    </row>
    <row r="3" spans="1:15" x14ac:dyDescent="0.3">
      <c r="A3" s="3" t="s">
        <v>82</v>
      </c>
      <c r="B3" s="3" t="s">
        <v>200</v>
      </c>
      <c r="C3" s="3" t="s">
        <v>5</v>
      </c>
      <c r="D3" s="18">
        <v>36</v>
      </c>
      <c r="E3" s="18">
        <v>16</v>
      </c>
      <c r="F3" s="19">
        <v>4</v>
      </c>
      <c r="G3" s="19">
        <v>3</v>
      </c>
      <c r="H3" s="19">
        <f t="shared" ref="H3:H18" si="2">D3*F3</f>
        <v>144</v>
      </c>
      <c r="I3" s="20">
        <v>108.6</v>
      </c>
      <c r="J3" s="4">
        <f>HLOOKUP($C3,'Параметры ПФ'!$F$8:$K$13,6,FALSE)*'Параметры ПФ'!$G$22</f>
        <v>57.67</v>
      </c>
      <c r="K3" s="4">
        <f t="shared" ref="K3:K20" si="3">IF(I3=0,J3*F3*E3,IF(J3&gt;I3,I3*F3*E3,J3*F3*E3))</f>
        <v>3690.88</v>
      </c>
      <c r="L3" s="5">
        <f>IF(K3&lt;'Параметры ПФ'!$L$3+0.01,'Адаптированные программы'!K3,ROUNDDOWN('Параметры ПФ'!$L$3/IF(I3=0,J3,IF(J3&gt;I3,I3,J3)),0)*IF(I3=0,J3,IF(J3&gt;I3,I3,J3)))</f>
        <v>3690.88</v>
      </c>
      <c r="M3" s="4">
        <f t="shared" ref="M3:M20" si="4">L3*G3</f>
        <v>11072.64</v>
      </c>
      <c r="N3" s="33">
        <f>IF(K3&lt;'Параметры ПФ'!$L$3+0.01,E3*F3*G3,ROUNDDOWN('Параметры ПФ'!$L$3/IF(I3=0,J3,IF(J3&gt;I3,I3,J3)),0)*G3)</f>
        <v>192</v>
      </c>
      <c r="O3" s="25">
        <f>IF(I3=0,J3*F3*E3,IF(J3&gt;I3,I3*F3*E3,J3*F3*E3))-L3</f>
        <v>0</v>
      </c>
    </row>
    <row r="4" spans="1:15" x14ac:dyDescent="0.3">
      <c r="A4" s="3" t="s">
        <v>82</v>
      </c>
      <c r="B4" s="3" t="s">
        <v>201</v>
      </c>
      <c r="C4" s="3" t="s">
        <v>5</v>
      </c>
      <c r="D4" s="18">
        <v>36</v>
      </c>
      <c r="E4" s="18">
        <v>16</v>
      </c>
      <c r="F4" s="19">
        <v>4</v>
      </c>
      <c r="G4" s="19">
        <v>3</v>
      </c>
      <c r="H4" s="19">
        <f t="shared" si="2"/>
        <v>144</v>
      </c>
      <c r="I4" s="20">
        <v>108.6</v>
      </c>
      <c r="J4" s="4">
        <f>HLOOKUP($C4,'Параметры ПФ'!$F$8:$K$13,6,FALSE)*'Параметры ПФ'!$G$22</f>
        <v>57.67</v>
      </c>
      <c r="K4" s="4">
        <f t="shared" si="3"/>
        <v>3690.88</v>
      </c>
      <c r="L4" s="5">
        <f>IF(K4&lt;'Параметры ПФ'!$L$3+0.01,'Адаптированные программы'!K4,ROUNDDOWN('Параметры ПФ'!$L$3/IF(I4=0,J4,IF(J4&gt;I4,I4,J4)),0)*IF(I4=0,J4,IF(J4&gt;I4,I4,J4)))</f>
        <v>3690.88</v>
      </c>
      <c r="M4" s="4">
        <f t="shared" si="4"/>
        <v>11072.64</v>
      </c>
      <c r="N4" s="33">
        <f>IF(K4&lt;'Параметры ПФ'!$L$3+0.01,E4*F4*G4,ROUNDDOWN('Параметры ПФ'!$L$3/IF(I4=0,J4,IF(J4&gt;I4,I4,J4)),0)*G4)</f>
        <v>192</v>
      </c>
      <c r="O4" s="25">
        <f t="shared" ref="O4" si="5">IF(I4=0,J4*F4*E4,IF(J4&gt;I4,I4*F4*E4,J4*F4*E4))-L4</f>
        <v>0</v>
      </c>
    </row>
    <row r="5" spans="1:15" x14ac:dyDescent="0.3">
      <c r="A5" s="3" t="s">
        <v>82</v>
      </c>
      <c r="B5" s="3" t="s">
        <v>202</v>
      </c>
      <c r="C5" s="3" t="s">
        <v>5</v>
      </c>
      <c r="D5" s="18">
        <v>36</v>
      </c>
      <c r="E5" s="18">
        <v>16</v>
      </c>
      <c r="F5" s="19">
        <v>2</v>
      </c>
      <c r="G5" s="19">
        <v>3</v>
      </c>
      <c r="H5" s="19">
        <f t="shared" si="2"/>
        <v>72</v>
      </c>
      <c r="I5" s="20">
        <v>108.6</v>
      </c>
      <c r="J5" s="4">
        <f>HLOOKUP($C5,'Параметры ПФ'!$F$8:$K$13,6,FALSE)*'Параметры ПФ'!$G$22</f>
        <v>57.67</v>
      </c>
      <c r="K5" s="4">
        <f t="shared" si="3"/>
        <v>1845.44</v>
      </c>
      <c r="L5" s="5">
        <f>IF(K5&lt;'Параметры ПФ'!$L$3+0.01,'Адаптированные программы'!K5,ROUNDDOWN('Параметры ПФ'!$L$3/IF(I5=0,J5,IF(J5&gt;I5,I5,J5)),0)*IF(I5=0,J5,IF(J5&gt;I5,I5,J5)))</f>
        <v>1845.44</v>
      </c>
      <c r="M5" s="4">
        <f t="shared" si="4"/>
        <v>5536.32</v>
      </c>
      <c r="N5" s="33">
        <f>IF(K5&lt;'Параметры ПФ'!$L$3+0.01,E5*F5*G5,ROUNDDOWN('Параметры ПФ'!$L$3/IF(I5=0,J5,IF(J5&gt;I5,I5,J5)),0)*G5)</f>
        <v>96</v>
      </c>
      <c r="O5" s="25">
        <f t="shared" ref="O5:O24" si="6">IF(I5=0,J5*F5*E5,IF(J5&gt;I5,I5*F5*E5,J5*F5*E5))-L5</f>
        <v>0</v>
      </c>
    </row>
    <row r="6" spans="1:15" x14ac:dyDescent="0.3">
      <c r="A6" s="3" t="s">
        <v>82</v>
      </c>
      <c r="B6" s="3" t="s">
        <v>203</v>
      </c>
      <c r="C6" s="3" t="s">
        <v>5</v>
      </c>
      <c r="D6" s="18">
        <v>36</v>
      </c>
      <c r="E6" s="18">
        <v>16</v>
      </c>
      <c r="F6" s="19">
        <v>2</v>
      </c>
      <c r="G6" s="19">
        <v>3</v>
      </c>
      <c r="H6" s="19">
        <f t="shared" si="2"/>
        <v>72</v>
      </c>
      <c r="I6" s="20">
        <v>108.6</v>
      </c>
      <c r="J6" s="4">
        <f>HLOOKUP($C6,'Параметры ПФ'!$F$8:$K$13,6,FALSE)*'Параметры ПФ'!$G$22</f>
        <v>57.67</v>
      </c>
      <c r="K6" s="4">
        <f t="shared" si="3"/>
        <v>1845.44</v>
      </c>
      <c r="L6" s="5">
        <f>IF(K6&lt;'Параметры ПФ'!$L$3+0.01,'Адаптированные программы'!K6,ROUNDDOWN('Параметры ПФ'!$L$3/IF(I6=0,J6,IF(J6&gt;I6,I6,J6)),0)*IF(I6=0,J6,IF(J6&gt;I6,I6,J6)))</f>
        <v>1845.44</v>
      </c>
      <c r="M6" s="4">
        <f t="shared" si="4"/>
        <v>5536.32</v>
      </c>
      <c r="N6" s="33">
        <f>IF(K6&lt;'Параметры ПФ'!$L$3+0.01,E6*F6*G6,ROUNDDOWN('Параметры ПФ'!$L$3/IF(I6=0,J6,IF(J6&gt;I6,I6,J6)),0)*G6)</f>
        <v>96</v>
      </c>
      <c r="O6" s="25">
        <f t="shared" si="6"/>
        <v>0</v>
      </c>
    </row>
    <row r="7" spans="1:15" x14ac:dyDescent="0.3">
      <c r="A7" s="3" t="s">
        <v>82</v>
      </c>
      <c r="B7" s="3" t="s">
        <v>204</v>
      </c>
      <c r="C7" s="3" t="s">
        <v>5</v>
      </c>
      <c r="D7" s="18">
        <v>36</v>
      </c>
      <c r="E7" s="18">
        <v>16</v>
      </c>
      <c r="F7" s="19">
        <v>4</v>
      </c>
      <c r="G7" s="19">
        <v>3</v>
      </c>
      <c r="H7" s="19">
        <f t="shared" si="2"/>
        <v>144</v>
      </c>
      <c r="I7" s="20">
        <v>108.6</v>
      </c>
      <c r="J7" s="4">
        <f>HLOOKUP($C7,'Параметры ПФ'!$F$8:$K$13,6,FALSE)*'Параметры ПФ'!$G$22</f>
        <v>57.67</v>
      </c>
      <c r="K7" s="4">
        <f t="shared" si="3"/>
        <v>3690.88</v>
      </c>
      <c r="L7" s="5">
        <f>IF(K7&lt;'Параметры ПФ'!$L$3+0.01,'Адаптированные программы'!K7,ROUNDDOWN('Параметры ПФ'!$L$3/IF(I7=0,J7,IF(J7&gt;I7,I7,J7)),0)*IF(I7=0,J7,IF(J7&gt;I7,I7,J7)))</f>
        <v>3690.88</v>
      </c>
      <c r="M7" s="4">
        <f t="shared" si="4"/>
        <v>11072.64</v>
      </c>
      <c r="N7" s="33">
        <f>IF(K7&lt;'Параметры ПФ'!$L$3+0.01,E7*F7*G7,ROUNDDOWN('Параметры ПФ'!$L$3/IF(I7=0,J7,IF(J7&gt;I7,I7,J7)),0)*G7)</f>
        <v>192</v>
      </c>
      <c r="O7" s="25">
        <f t="shared" si="6"/>
        <v>0</v>
      </c>
    </row>
    <row r="8" spans="1:15" x14ac:dyDescent="0.3">
      <c r="A8" s="3" t="s">
        <v>82</v>
      </c>
      <c r="B8" s="3" t="s">
        <v>205</v>
      </c>
      <c r="C8" s="3" t="s">
        <v>5</v>
      </c>
      <c r="D8" s="18">
        <v>36</v>
      </c>
      <c r="E8" s="18">
        <v>16</v>
      </c>
      <c r="F8" s="19">
        <v>2</v>
      </c>
      <c r="G8" s="19">
        <v>3</v>
      </c>
      <c r="H8" s="19">
        <f t="shared" si="2"/>
        <v>72</v>
      </c>
      <c r="I8" s="20">
        <v>108.6</v>
      </c>
      <c r="J8" s="4">
        <f>HLOOKUP($C8,'Параметры ПФ'!$F$8:$K$13,6,FALSE)*'Параметры ПФ'!$G$22</f>
        <v>57.67</v>
      </c>
      <c r="K8" s="4">
        <f t="shared" si="3"/>
        <v>1845.44</v>
      </c>
      <c r="L8" s="5">
        <f>IF(K8&lt;'Параметры ПФ'!$L$3+0.01,'Адаптированные программы'!K8,ROUNDDOWN('Параметры ПФ'!$L$3/IF(I8=0,J8,IF(J8&gt;I8,I8,J8)),0)*IF(I8=0,J8,IF(J8&gt;I8,I8,J8)))</f>
        <v>1845.44</v>
      </c>
      <c r="M8" s="4">
        <f t="shared" si="4"/>
        <v>5536.32</v>
      </c>
      <c r="N8" s="33">
        <f>IF(K8&lt;'Параметры ПФ'!$L$3+0.01,E8*F8*G8,ROUNDDOWN('Параметры ПФ'!$L$3/IF(I8=0,J8,IF(J8&gt;I8,I8,J8)),0)*G8)</f>
        <v>96</v>
      </c>
      <c r="O8" s="25">
        <f t="shared" si="6"/>
        <v>0</v>
      </c>
    </row>
    <row r="9" spans="1:15" x14ac:dyDescent="0.3">
      <c r="A9" s="3" t="s">
        <v>82</v>
      </c>
      <c r="B9" s="3" t="s">
        <v>206</v>
      </c>
      <c r="C9" s="3" t="s">
        <v>5</v>
      </c>
      <c r="D9" s="18">
        <v>36</v>
      </c>
      <c r="E9" s="18">
        <v>16</v>
      </c>
      <c r="F9" s="19">
        <v>4</v>
      </c>
      <c r="G9" s="19">
        <v>5</v>
      </c>
      <c r="H9" s="19">
        <f t="shared" si="2"/>
        <v>144</v>
      </c>
      <c r="I9" s="20">
        <v>108.6</v>
      </c>
      <c r="J9" s="4">
        <f>HLOOKUP($C9,'Параметры ПФ'!$F$8:$K$13,6,FALSE)*'Параметры ПФ'!$G$22</f>
        <v>57.67</v>
      </c>
      <c r="K9" s="4">
        <f t="shared" si="3"/>
        <v>3690.88</v>
      </c>
      <c r="L9" s="5">
        <f>IF(K9&lt;'Параметры ПФ'!$L$3+0.01,'Адаптированные программы'!K9,ROUNDDOWN('Параметры ПФ'!$L$3/IF(I9=0,J9,IF(J9&gt;I9,I9,J9)),0)*IF(I9=0,J9,IF(J9&gt;I9,I9,J9)))</f>
        <v>3690.88</v>
      </c>
      <c r="M9" s="4">
        <f t="shared" si="4"/>
        <v>18454.400000000001</v>
      </c>
      <c r="N9" s="33">
        <f>IF(K9&lt;'Параметры ПФ'!$L$3+0.01,E9*F9*G9,ROUNDDOWN('Параметры ПФ'!$L$3/IF(I9=0,J9,IF(J9&gt;I9,I9,J9)),0)*G9)</f>
        <v>320</v>
      </c>
      <c r="O9" s="25">
        <f t="shared" si="6"/>
        <v>0</v>
      </c>
    </row>
    <row r="10" spans="1:15" x14ac:dyDescent="0.3">
      <c r="A10" s="3" t="s">
        <v>82</v>
      </c>
      <c r="B10" s="3" t="s">
        <v>207</v>
      </c>
      <c r="C10" s="3" t="s">
        <v>5</v>
      </c>
      <c r="D10" s="18">
        <v>36</v>
      </c>
      <c r="E10" s="18">
        <v>16</v>
      </c>
      <c r="F10" s="19">
        <v>2</v>
      </c>
      <c r="G10" s="19">
        <v>3</v>
      </c>
      <c r="H10" s="19">
        <f t="shared" si="2"/>
        <v>72</v>
      </c>
      <c r="I10" s="20">
        <v>108.6</v>
      </c>
      <c r="J10" s="4">
        <f>HLOOKUP($C10,'Параметры ПФ'!$F$8:$K$13,6,FALSE)*'Параметры ПФ'!$G$22</f>
        <v>57.67</v>
      </c>
      <c r="K10" s="4">
        <f t="shared" si="3"/>
        <v>1845.44</v>
      </c>
      <c r="L10" s="5">
        <f>IF(K10&lt;'Параметры ПФ'!$L$3+0.01,'Адаптированные программы'!K10,ROUNDDOWN('Параметры ПФ'!$L$3/IF(I10=0,J10,IF(J10&gt;I10,I10,J10)),0)*IF(I10=0,J10,IF(J10&gt;I10,I10,J10)))</f>
        <v>1845.44</v>
      </c>
      <c r="M10" s="4">
        <f t="shared" si="4"/>
        <v>5536.32</v>
      </c>
      <c r="N10" s="33">
        <f>IF(K10&lt;'Параметры ПФ'!$L$3+0.01,E10*F10*G10,ROUNDDOWN('Параметры ПФ'!$L$3/IF(I10=0,J10,IF(J10&gt;I10,I10,J10)),0)*G10)</f>
        <v>96</v>
      </c>
      <c r="O10" s="25">
        <f t="shared" si="6"/>
        <v>0</v>
      </c>
    </row>
    <row r="11" spans="1:15" x14ac:dyDescent="0.3">
      <c r="A11" s="3" t="s">
        <v>82</v>
      </c>
      <c r="B11" s="3" t="s">
        <v>208</v>
      </c>
      <c r="C11" s="3" t="s">
        <v>5</v>
      </c>
      <c r="D11" s="18">
        <v>36</v>
      </c>
      <c r="E11" s="18">
        <v>16</v>
      </c>
      <c r="F11" s="19">
        <v>2</v>
      </c>
      <c r="G11" s="19">
        <v>3</v>
      </c>
      <c r="H11" s="19">
        <f t="shared" si="2"/>
        <v>72</v>
      </c>
      <c r="I11" s="20">
        <v>108.6</v>
      </c>
      <c r="J11" s="4">
        <f>HLOOKUP($C11,'Параметры ПФ'!$F$8:$K$13,6,FALSE)*'Параметры ПФ'!$G$22</f>
        <v>57.67</v>
      </c>
      <c r="K11" s="4">
        <f t="shared" si="3"/>
        <v>1845.44</v>
      </c>
      <c r="L11" s="5">
        <f>IF(K11&lt;'Параметры ПФ'!$L$3+0.01,'Адаптированные программы'!K11,ROUNDDOWN('Параметры ПФ'!$L$3/IF(I11=0,J11,IF(J11&gt;I11,I11,J11)),0)*IF(I11=0,J11,IF(J11&gt;I11,I11,J11)))</f>
        <v>1845.44</v>
      </c>
      <c r="M11" s="4">
        <f t="shared" si="4"/>
        <v>5536.32</v>
      </c>
      <c r="N11" s="33">
        <f>IF(K11&lt;'Параметры ПФ'!$L$3+0.01,E11*F11*G11,ROUNDDOWN('Параметры ПФ'!$L$3/IF(I11=0,J11,IF(J11&gt;I11,I11,J11)),0)*G11)</f>
        <v>96</v>
      </c>
      <c r="O11" s="25">
        <f t="shared" si="6"/>
        <v>0</v>
      </c>
    </row>
    <row r="12" spans="1:15" x14ac:dyDescent="0.3">
      <c r="A12" s="3" t="s">
        <v>82</v>
      </c>
      <c r="B12" s="3" t="s">
        <v>209</v>
      </c>
      <c r="C12" s="3" t="s">
        <v>5</v>
      </c>
      <c r="D12" s="18">
        <v>36</v>
      </c>
      <c r="E12" s="18">
        <v>16</v>
      </c>
      <c r="F12" s="19">
        <v>4</v>
      </c>
      <c r="G12" s="19">
        <v>3</v>
      </c>
      <c r="H12" s="19">
        <f t="shared" si="2"/>
        <v>144</v>
      </c>
      <c r="I12" s="20">
        <v>108.6</v>
      </c>
      <c r="J12" s="4">
        <f>HLOOKUP($C12,'Параметры ПФ'!$F$8:$K$13,6,FALSE)*'Параметры ПФ'!$G$22</f>
        <v>57.67</v>
      </c>
      <c r="K12" s="4">
        <f t="shared" si="3"/>
        <v>3690.88</v>
      </c>
      <c r="L12" s="5">
        <f>IF(K12&lt;'Параметры ПФ'!$L$3+0.01,'Адаптированные программы'!K12,ROUNDDOWN('Параметры ПФ'!$L$3/IF(I12=0,J12,IF(J12&gt;I12,I12,J12)),0)*IF(I12=0,J12,IF(J12&gt;I12,I12,J12)))</f>
        <v>3690.88</v>
      </c>
      <c r="M12" s="4">
        <f t="shared" si="4"/>
        <v>11072.64</v>
      </c>
      <c r="N12" s="33">
        <f>IF(K12&lt;'Параметры ПФ'!$L$3+0.01,E12*F12*G12,ROUNDDOWN('Параметры ПФ'!$L$3/IF(I12=0,J12,IF(J12&gt;I12,I12,J12)),0)*G12)</f>
        <v>192</v>
      </c>
      <c r="O12" s="25">
        <f t="shared" si="6"/>
        <v>0</v>
      </c>
    </row>
    <row r="13" spans="1:15" x14ac:dyDescent="0.3">
      <c r="A13" s="3" t="s">
        <v>82</v>
      </c>
      <c r="B13" s="3" t="s">
        <v>210</v>
      </c>
      <c r="C13" s="3" t="s">
        <v>5</v>
      </c>
      <c r="D13" s="18">
        <v>36</v>
      </c>
      <c r="E13" s="18">
        <v>16</v>
      </c>
      <c r="F13" s="19">
        <v>2</v>
      </c>
      <c r="G13" s="19">
        <v>6</v>
      </c>
      <c r="H13" s="19">
        <f t="shared" si="2"/>
        <v>72</v>
      </c>
      <c r="I13" s="20">
        <v>108.6</v>
      </c>
      <c r="J13" s="4">
        <f>HLOOKUP($C13,'Параметры ПФ'!$F$8:$K$13,6,FALSE)*'Параметры ПФ'!$G$22</f>
        <v>57.67</v>
      </c>
      <c r="K13" s="4">
        <f t="shared" si="3"/>
        <v>1845.44</v>
      </c>
      <c r="L13" s="5">
        <f>IF(K13&lt;'Параметры ПФ'!$L$3+0.01,'Адаптированные программы'!K13,ROUNDDOWN('Параметры ПФ'!$L$3/IF(I13=0,J13,IF(J13&gt;I13,I13,J13)),0)*IF(I13=0,J13,IF(J13&gt;I13,I13,J13)))</f>
        <v>1845.44</v>
      </c>
      <c r="M13" s="4">
        <f t="shared" si="4"/>
        <v>11072.64</v>
      </c>
      <c r="N13" s="33">
        <f>IF(K13&lt;'Параметры ПФ'!$L$3+0.01,E13*F13*G13,ROUNDDOWN('Параметры ПФ'!$L$3/IF(I13=0,J13,IF(J13&gt;I13,I13,J13)),0)*G13)</f>
        <v>192</v>
      </c>
      <c r="O13" s="25">
        <f t="shared" si="6"/>
        <v>0</v>
      </c>
    </row>
    <row r="14" spans="1:15" x14ac:dyDescent="0.3">
      <c r="A14" s="3" t="s">
        <v>82</v>
      </c>
      <c r="B14" s="3" t="s">
        <v>211</v>
      </c>
      <c r="C14" s="3" t="s">
        <v>43</v>
      </c>
      <c r="D14" s="18">
        <v>36</v>
      </c>
      <c r="E14" s="18">
        <v>16</v>
      </c>
      <c r="F14" s="19">
        <v>4</v>
      </c>
      <c r="G14" s="19">
        <v>3</v>
      </c>
      <c r="H14" s="19">
        <f t="shared" si="2"/>
        <v>144</v>
      </c>
      <c r="I14" s="20">
        <v>108.6</v>
      </c>
      <c r="J14" s="4">
        <f>HLOOKUP($C14,'Параметры ПФ'!$F$8:$K$13,6,FALSE)*'Параметры ПФ'!$G$22</f>
        <v>56.35</v>
      </c>
      <c r="K14" s="4">
        <f t="shared" si="3"/>
        <v>3606.4</v>
      </c>
      <c r="L14" s="5">
        <f>IF(K14&lt;'Параметры ПФ'!$L$3+0.01,'Адаптированные программы'!K14,ROUNDDOWN('Параметры ПФ'!$L$3/IF(I14=0,J14,IF(J14&gt;I14,I14,J14)),0)*IF(I14=0,J14,IF(J14&gt;I14,I14,J14)))</f>
        <v>3606.4</v>
      </c>
      <c r="M14" s="4">
        <f t="shared" si="4"/>
        <v>10819.2</v>
      </c>
      <c r="N14" s="33">
        <f>IF(K14&lt;'Параметры ПФ'!$L$3+0.01,E14*F14*G14,ROUNDDOWN('Параметры ПФ'!$L$3/IF(I14=0,J14,IF(J14&gt;I14,I14,J14)),0)*G14)</f>
        <v>192</v>
      </c>
      <c r="O14" s="25">
        <f t="shared" si="6"/>
        <v>0</v>
      </c>
    </row>
    <row r="15" spans="1:15" x14ac:dyDescent="0.3">
      <c r="A15" s="3" t="s">
        <v>82</v>
      </c>
      <c r="B15" s="3" t="s">
        <v>212</v>
      </c>
      <c r="C15" s="3" t="s">
        <v>43</v>
      </c>
      <c r="D15" s="18">
        <v>36</v>
      </c>
      <c r="E15" s="18">
        <v>16</v>
      </c>
      <c r="F15" s="19">
        <v>4</v>
      </c>
      <c r="G15" s="19">
        <v>3</v>
      </c>
      <c r="H15" s="19">
        <f t="shared" si="2"/>
        <v>144</v>
      </c>
      <c r="I15" s="20">
        <v>108.6</v>
      </c>
      <c r="J15" s="4">
        <f>HLOOKUP($C15,'Параметры ПФ'!$F$8:$K$13,6,FALSE)*'Параметры ПФ'!$G$22</f>
        <v>56.35</v>
      </c>
      <c r="K15" s="4">
        <f t="shared" si="3"/>
        <v>3606.4</v>
      </c>
      <c r="L15" s="5">
        <f>IF(K15&lt;'Параметры ПФ'!$L$3+0.01,'Адаптированные программы'!K15,ROUNDDOWN('Параметры ПФ'!$L$3/IF(I15=0,J15,IF(J15&gt;I15,I15,J15)),0)*IF(I15=0,J15,IF(J15&gt;I15,I15,J15)))</f>
        <v>3606.4</v>
      </c>
      <c r="M15" s="4">
        <f t="shared" si="4"/>
        <v>10819.2</v>
      </c>
      <c r="N15" s="33">
        <f>IF(K15&lt;'Параметры ПФ'!$L$3+0.01,E15*F15*G15,ROUNDDOWN('Параметры ПФ'!$L$3/IF(I15=0,J15,IF(J15&gt;I15,I15,J15)),0)*G15)</f>
        <v>192</v>
      </c>
      <c r="O15" s="25">
        <f t="shared" si="6"/>
        <v>0</v>
      </c>
    </row>
    <row r="16" spans="1:15" x14ac:dyDescent="0.3">
      <c r="A16" s="3" t="s">
        <v>82</v>
      </c>
      <c r="B16" s="3" t="s">
        <v>213</v>
      </c>
      <c r="C16" s="3" t="s">
        <v>4</v>
      </c>
      <c r="D16" s="18">
        <v>36</v>
      </c>
      <c r="E16" s="18">
        <v>16</v>
      </c>
      <c r="F16" s="19">
        <v>4</v>
      </c>
      <c r="G16" s="19">
        <v>3</v>
      </c>
      <c r="H16" s="19">
        <f t="shared" si="2"/>
        <v>144</v>
      </c>
      <c r="I16" s="20">
        <v>108.6</v>
      </c>
      <c r="J16" s="4">
        <f>HLOOKUP($C16,'Параметры ПФ'!$F$8:$K$13,6,FALSE)*'Параметры ПФ'!$G$22</f>
        <v>57.62</v>
      </c>
      <c r="K16" s="4">
        <f t="shared" si="3"/>
        <v>3687.68</v>
      </c>
      <c r="L16" s="5">
        <f>IF(K16&lt;'Параметры ПФ'!$L$3+0.01,'Адаптированные программы'!K16,ROUNDDOWN('Параметры ПФ'!$L$3/IF(I16=0,J16,IF(J16&gt;I16,I16,J16)),0)*IF(I16=0,J16,IF(J16&gt;I16,I16,J16)))</f>
        <v>3687.68</v>
      </c>
      <c r="M16" s="4">
        <f t="shared" si="4"/>
        <v>11063.04</v>
      </c>
      <c r="N16" s="33">
        <f>IF(K16&lt;'Параметры ПФ'!$L$3+0.01,E16*F16*G16,ROUNDDOWN('Параметры ПФ'!$L$3/IF(I16=0,J16,IF(J16&gt;I16,I16,J16)),0)*G16)</f>
        <v>192</v>
      </c>
      <c r="O16" s="25">
        <f t="shared" si="6"/>
        <v>0</v>
      </c>
    </row>
    <row r="17" spans="1:15" x14ac:dyDescent="0.3">
      <c r="A17" s="3" t="s">
        <v>82</v>
      </c>
      <c r="B17" s="3" t="s">
        <v>214</v>
      </c>
      <c r="C17" s="3" t="s">
        <v>3</v>
      </c>
      <c r="D17" s="18">
        <v>36</v>
      </c>
      <c r="E17" s="18">
        <v>16</v>
      </c>
      <c r="F17" s="19">
        <v>4</v>
      </c>
      <c r="G17" s="19">
        <v>3</v>
      </c>
      <c r="H17" s="19">
        <f t="shared" si="2"/>
        <v>144</v>
      </c>
      <c r="I17" s="20">
        <v>108.6</v>
      </c>
      <c r="J17" s="4">
        <f>HLOOKUP($C17,'Параметры ПФ'!$F$8:$K$13,6,FALSE)*'Параметры ПФ'!$G$22</f>
        <v>57.61</v>
      </c>
      <c r="K17" s="4">
        <f t="shared" si="3"/>
        <v>3687.04</v>
      </c>
      <c r="L17" s="5">
        <f>IF(K17&lt;'Параметры ПФ'!$L$3+0.01,'Адаптированные программы'!K17,ROUNDDOWN('Параметры ПФ'!$L$3/IF(I17=0,J17,IF(J17&gt;I17,I17,J17)),0)*IF(I17=0,J17,IF(J17&gt;I17,I17,J17)))</f>
        <v>3687.04</v>
      </c>
      <c r="M17" s="4">
        <f t="shared" si="4"/>
        <v>11061.12</v>
      </c>
      <c r="N17" s="33">
        <f>IF(K17&lt;'Параметры ПФ'!$L$3+0.01,E17*F17*G17,ROUNDDOWN('Параметры ПФ'!$L$3/IF(I17=0,J17,IF(J17&gt;I17,I17,J17)),0)*G17)</f>
        <v>192</v>
      </c>
      <c r="O17" s="25">
        <f t="shared" si="6"/>
        <v>0</v>
      </c>
    </row>
    <row r="18" spans="1:15" x14ac:dyDescent="0.3">
      <c r="A18" s="3" t="s">
        <v>82</v>
      </c>
      <c r="B18" s="3" t="s">
        <v>215</v>
      </c>
      <c r="C18" s="3" t="s">
        <v>3</v>
      </c>
      <c r="D18" s="18">
        <v>36</v>
      </c>
      <c r="E18" s="18">
        <v>16</v>
      </c>
      <c r="F18" s="19">
        <v>4</v>
      </c>
      <c r="G18" s="19">
        <v>3</v>
      </c>
      <c r="H18" s="19">
        <f t="shared" si="2"/>
        <v>144</v>
      </c>
      <c r="I18" s="20">
        <v>108.6</v>
      </c>
      <c r="J18" s="4">
        <f>HLOOKUP($C18,'Параметры ПФ'!$F$8:$K$13,6,FALSE)*'Параметры ПФ'!$G$22</f>
        <v>57.61</v>
      </c>
      <c r="K18" s="4">
        <f t="shared" si="3"/>
        <v>3687.04</v>
      </c>
      <c r="L18" s="5">
        <f>IF(K18&lt;'Параметры ПФ'!$L$3+0.01,'Адаптированные программы'!K18,ROUNDDOWN('Параметры ПФ'!$L$3/IF(I18=0,J18,IF(J18&gt;I18,I18,J18)),0)*IF(I18=0,J18,IF(J18&gt;I18,I18,J18)))</f>
        <v>3687.04</v>
      </c>
      <c r="M18" s="4">
        <f t="shared" si="4"/>
        <v>11061.12</v>
      </c>
      <c r="N18" s="33">
        <f>IF(K18&lt;'Параметры ПФ'!$L$3+0.01,E18*F18*G18,ROUNDDOWN('Параметры ПФ'!$L$3/IF(I18=0,J18,IF(J18&gt;I18,I18,J18)),0)*G18)</f>
        <v>192</v>
      </c>
      <c r="O18" s="25">
        <f t="shared" si="6"/>
        <v>0</v>
      </c>
    </row>
    <row r="19" spans="1:15" x14ac:dyDescent="0.3">
      <c r="A19" s="3" t="s">
        <v>180</v>
      </c>
      <c r="B19" s="3" t="s">
        <v>216</v>
      </c>
      <c r="C19" s="3" t="s">
        <v>5</v>
      </c>
      <c r="D19" s="18">
        <v>36</v>
      </c>
      <c r="E19" s="18">
        <v>16</v>
      </c>
      <c r="F19" s="19">
        <v>4</v>
      </c>
      <c r="G19" s="19">
        <v>1</v>
      </c>
      <c r="H19" s="19">
        <v>144</v>
      </c>
      <c r="I19" s="20">
        <v>108.6</v>
      </c>
      <c r="J19" s="4">
        <f>HLOOKUP($C19,'Параметры ПФ'!$F$8:$K$13,6,FALSE)*'Параметры ПФ'!$G$22</f>
        <v>57.67</v>
      </c>
      <c r="K19" s="4">
        <f t="shared" si="3"/>
        <v>3690.88</v>
      </c>
      <c r="L19" s="5">
        <f>IF(K19&lt;'Параметры ПФ'!$L$3+0.01,'Адаптированные программы'!K19,ROUNDDOWN('Параметры ПФ'!$L$3/IF(I19=0,J19,IF(J19&gt;I19,I19,J19)),0)*IF(I19=0,J19,IF(J19&gt;I19,I19,J19)))</f>
        <v>3690.88</v>
      </c>
      <c r="M19" s="4">
        <f t="shared" si="4"/>
        <v>3690.88</v>
      </c>
      <c r="N19" s="33">
        <f>IF(K19&lt;'Параметры ПФ'!$L$3+0.01,E19*F19*G19,ROUNDDOWN('Параметры ПФ'!$L$3/IF(I19=0,J19,IF(J19&gt;I19,I19,J19)),0)*G19)</f>
        <v>64</v>
      </c>
      <c r="O19" s="25">
        <f t="shared" si="6"/>
        <v>0</v>
      </c>
    </row>
    <row r="20" spans="1:15" x14ac:dyDescent="0.3">
      <c r="A20" s="3" t="s">
        <v>180</v>
      </c>
      <c r="B20" s="3" t="s">
        <v>183</v>
      </c>
      <c r="C20" s="3" t="s">
        <v>5</v>
      </c>
      <c r="D20" s="18">
        <v>36</v>
      </c>
      <c r="E20" s="18">
        <v>16</v>
      </c>
      <c r="F20" s="19">
        <v>4</v>
      </c>
      <c r="G20" s="19">
        <v>1</v>
      </c>
      <c r="H20" s="19">
        <v>144</v>
      </c>
      <c r="I20" s="20">
        <v>108.6</v>
      </c>
      <c r="J20" s="4">
        <f>HLOOKUP($C20,'Параметры ПФ'!$F$8:$K$13,6,FALSE)*'Параметры ПФ'!$G$22</f>
        <v>57.67</v>
      </c>
      <c r="K20" s="4">
        <f t="shared" si="3"/>
        <v>3690.88</v>
      </c>
      <c r="L20" s="5">
        <f>IF(K20&lt;'Параметры ПФ'!$L$3+0.01,'Адаптированные программы'!K20,ROUNDDOWN('Параметры ПФ'!$L$3/IF(I20=0,J20,IF(J20&gt;I20,I20,J20)),0)*IF(I20=0,J20,IF(J20&gt;I20,I20,J20)))</f>
        <v>3690.88</v>
      </c>
      <c r="M20" s="4">
        <f t="shared" si="4"/>
        <v>3690.88</v>
      </c>
      <c r="N20" s="33">
        <f>IF(K20&lt;'Параметры ПФ'!$L$3+0.01,E20*F20*G20,ROUNDDOWN('Параметры ПФ'!$L$3/IF(I20=0,J20,IF(J20&gt;I20,I20,J20)),0)*G20)</f>
        <v>64</v>
      </c>
      <c r="O20" s="25">
        <f t="shared" si="6"/>
        <v>0</v>
      </c>
    </row>
    <row r="21" spans="1:15" x14ac:dyDescent="0.3">
      <c r="A21" s="3"/>
      <c r="B21" s="3"/>
      <c r="C21" s="3" t="s">
        <v>5</v>
      </c>
      <c r="D21" s="18"/>
      <c r="E21" s="18"/>
      <c r="F21" s="19"/>
      <c r="G21" s="19"/>
      <c r="H21" s="19"/>
      <c r="I21" s="20"/>
      <c r="J21" s="4">
        <f>HLOOKUP($C21,'Параметры ПФ'!$F$8:$K$13,6,FALSE)*'Параметры ПФ'!$G$22</f>
        <v>57.67</v>
      </c>
      <c r="K21" s="4">
        <f t="shared" ref="K21:K24" si="7">IF(I21=0,J21*F21*E21,IF(J21&gt;I21,I21*F21*E21,J21*F21*E21))</f>
        <v>0</v>
      </c>
      <c r="L21" s="5">
        <f>IF(K21&lt;'Параметры ПФ'!$L$3+0.01,'Адаптированные программы'!K21,ROUNDDOWN('Параметры ПФ'!$L$3/IF(I21=0,J21,IF(J21&gt;I21,I21,J21)),0)*IF(I21=0,J21,IF(J21&gt;I21,I21,J21)))</f>
        <v>0</v>
      </c>
      <c r="M21" s="4">
        <f t="shared" ref="M21:M24" si="8">L21*G21</f>
        <v>0</v>
      </c>
      <c r="N21" s="33">
        <f>IF(K21&lt;'Параметры ПФ'!$L$3+0.01,E21*F21*G21,ROUNDDOWN('Параметры ПФ'!$L$3/IF(I21=0,J21,IF(J21&gt;I21,I21,J21)),0)*G21)</f>
        <v>0</v>
      </c>
      <c r="O21" s="25">
        <f t="shared" si="6"/>
        <v>0</v>
      </c>
    </row>
    <row r="22" spans="1:15" x14ac:dyDescent="0.3">
      <c r="A22" s="3"/>
      <c r="B22" s="3"/>
      <c r="C22" s="3" t="s">
        <v>5</v>
      </c>
      <c r="D22" s="18"/>
      <c r="E22" s="18"/>
      <c r="F22" s="19"/>
      <c r="G22" s="19"/>
      <c r="H22" s="19"/>
      <c r="I22" s="20"/>
      <c r="J22" s="4">
        <f>HLOOKUP($C22,'Параметры ПФ'!$F$8:$K$13,6,FALSE)*'Параметры ПФ'!$G$22</f>
        <v>57.67</v>
      </c>
      <c r="K22" s="4">
        <f t="shared" si="7"/>
        <v>0</v>
      </c>
      <c r="L22" s="5">
        <f>IF(K22&lt;'Параметры ПФ'!$L$3+0.01,'Адаптированные программы'!K22,ROUNDDOWN('Параметры ПФ'!$L$3/IF(I22=0,J22,IF(J22&gt;I22,I22,J22)),0)*IF(I22=0,J22,IF(J22&gt;I22,I22,J22)))</f>
        <v>0</v>
      </c>
      <c r="M22" s="4">
        <f t="shared" si="8"/>
        <v>0</v>
      </c>
      <c r="N22" s="33">
        <f>IF(K22&lt;'Параметры ПФ'!$L$3+0.01,E22*F22*G22,ROUNDDOWN('Параметры ПФ'!$L$3/IF(I22=0,J22,IF(J22&gt;I22,I22,J22)),0)*G22)</f>
        <v>0</v>
      </c>
      <c r="O22" s="25">
        <f t="shared" si="6"/>
        <v>0</v>
      </c>
    </row>
    <row r="23" spans="1:15" x14ac:dyDescent="0.3">
      <c r="A23" s="3"/>
      <c r="B23" s="3"/>
      <c r="C23" s="3" t="s">
        <v>5</v>
      </c>
      <c r="D23" s="18"/>
      <c r="E23" s="18"/>
      <c r="F23" s="19"/>
      <c r="G23" s="19"/>
      <c r="H23" s="19"/>
      <c r="I23" s="20"/>
      <c r="J23" s="4">
        <f>HLOOKUP($C23,'Параметры ПФ'!$F$8:$K$13,6,FALSE)*'Параметры ПФ'!$G$22</f>
        <v>57.67</v>
      </c>
      <c r="K23" s="4">
        <f t="shared" si="7"/>
        <v>0</v>
      </c>
      <c r="L23" s="5">
        <f>IF(K23&lt;'Параметры ПФ'!$L$3+0.01,'Адаптированные программы'!K23,ROUNDDOWN('Параметры ПФ'!$L$3/IF(I23=0,J23,IF(J23&gt;I23,I23,J23)),0)*IF(I23=0,J23,IF(J23&gt;I23,I23,J23)))</f>
        <v>0</v>
      </c>
      <c r="M23" s="4">
        <f t="shared" si="8"/>
        <v>0</v>
      </c>
      <c r="N23" s="33">
        <f>IF(K23&lt;'Параметры ПФ'!$L$3+0.01,E23*F23*G23,ROUNDDOWN('Параметры ПФ'!$L$3/IF(I23=0,J23,IF(J23&gt;I23,I23,J23)),0)*G23)</f>
        <v>0</v>
      </c>
      <c r="O23" s="25">
        <f t="shared" si="6"/>
        <v>0</v>
      </c>
    </row>
    <row r="24" spans="1:15" x14ac:dyDescent="0.3">
      <c r="A24" s="3"/>
      <c r="B24" s="3"/>
      <c r="C24" s="3" t="s">
        <v>5</v>
      </c>
      <c r="D24" s="18"/>
      <c r="E24" s="18"/>
      <c r="F24" s="19"/>
      <c r="G24" s="19"/>
      <c r="H24" s="19"/>
      <c r="I24" s="20"/>
      <c r="J24" s="4">
        <f>HLOOKUP($C24,'Параметры ПФ'!$F$8:$K$13,6,FALSE)*'Параметры ПФ'!$G$22</f>
        <v>57.67</v>
      </c>
      <c r="K24" s="4">
        <f t="shared" si="7"/>
        <v>0</v>
      </c>
      <c r="L24" s="5">
        <f>IF(K24&lt;'Параметры ПФ'!$L$3+0.01,'Адаптированные программы'!K24,ROUNDDOWN('Параметры ПФ'!$L$3/IF(I24=0,J24,IF(J24&gt;I24,I24,J24)),0)*IF(I24=0,J24,IF(J24&gt;I24,I24,J24)))</f>
        <v>0</v>
      </c>
      <c r="M24" s="4">
        <f t="shared" si="8"/>
        <v>0</v>
      </c>
      <c r="N24" s="33">
        <f>IF(K24&lt;'Параметры ПФ'!$L$3+0.01,E24*F24*G24,ROUNDDOWN('Параметры ПФ'!$L$3/IF(I24=0,J24,IF(J24&gt;I24,I24,J24)),0)*G24)</f>
        <v>0</v>
      </c>
      <c r="O24" s="25">
        <f t="shared" si="6"/>
        <v>0</v>
      </c>
    </row>
    <row r="25" spans="1:15" x14ac:dyDescent="0.3">
      <c r="A25" s="138"/>
      <c r="B25" s="138"/>
      <c r="C25" s="138"/>
      <c r="D25" s="138"/>
      <c r="E25" s="138"/>
      <c r="F25" s="138"/>
      <c r="G25" s="6">
        <f>SUM(G2:G24)</f>
        <v>58</v>
      </c>
      <c r="H25" s="6"/>
      <c r="I25" s="7" t="s">
        <v>31</v>
      </c>
      <c r="J25" s="8" t="s">
        <v>31</v>
      </c>
      <c r="K25" s="7" t="s">
        <v>31</v>
      </c>
      <c r="L25" s="8" t="s">
        <v>31</v>
      </c>
      <c r="M25" s="31">
        <f>SUM(M2:M24)</f>
        <v>169240.95999999999</v>
      </c>
      <c r="N25" s="34">
        <f>SUM(N2:N24)</f>
        <v>2944</v>
      </c>
      <c r="O25" s="26" t="s">
        <v>31</v>
      </c>
    </row>
  </sheetData>
  <mergeCells count="1">
    <mergeCell ref="A25:F25"/>
  </mergeCells>
  <conditionalFormatting sqref="O2:O24">
    <cfRule type="cellIs" dxfId="2" priority="1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80" zoomScaleNormal="80" workbookViewId="0">
      <selection activeCell="B2" sqref="B2:B9"/>
    </sheetView>
  </sheetViews>
  <sheetFormatPr defaultRowHeight="15.6" x14ac:dyDescent="0.3"/>
  <cols>
    <col min="1" max="1" width="18.8984375" customWidth="1"/>
    <col min="2" max="2" width="36" customWidth="1"/>
    <col min="3" max="3" width="26.59765625" customWidth="1"/>
    <col min="4" max="5" width="11.19921875" customWidth="1"/>
    <col min="6" max="6" width="10.59765625" customWidth="1"/>
    <col min="8" max="9" width="10.09765625" customWidth="1"/>
    <col min="10" max="11" width="14.19921875" customWidth="1"/>
    <col min="12" max="12" width="14.59765625" customWidth="1"/>
    <col min="13" max="13" width="16.19921875" customWidth="1"/>
    <col min="14" max="14" width="15.59765625" customWidth="1"/>
  </cols>
  <sheetData>
    <row r="1" spans="1:14" ht="96" customHeight="1" x14ac:dyDescent="0.3">
      <c r="A1" s="13" t="s">
        <v>26</v>
      </c>
      <c r="B1" s="13" t="s">
        <v>27</v>
      </c>
      <c r="C1" s="13" t="s">
        <v>9</v>
      </c>
      <c r="D1" s="14" t="s">
        <v>8</v>
      </c>
      <c r="E1" s="14" t="s">
        <v>46</v>
      </c>
      <c r="F1" s="14" t="s">
        <v>32</v>
      </c>
      <c r="G1" s="14" t="s">
        <v>28</v>
      </c>
      <c r="H1" s="15" t="s">
        <v>33</v>
      </c>
      <c r="I1" s="16" t="s">
        <v>29</v>
      </c>
      <c r="J1" s="16" t="s">
        <v>47</v>
      </c>
      <c r="K1" s="28" t="s">
        <v>48</v>
      </c>
      <c r="L1" s="16" t="s">
        <v>37</v>
      </c>
      <c r="M1" s="16" t="s">
        <v>54</v>
      </c>
      <c r="N1" s="24" t="s">
        <v>49</v>
      </c>
    </row>
    <row r="2" spans="1:14" x14ac:dyDescent="0.3">
      <c r="A2" s="3" t="s">
        <v>1</v>
      </c>
      <c r="B2" s="3"/>
      <c r="C2" s="3" t="s">
        <v>5</v>
      </c>
      <c r="D2" s="18"/>
      <c r="E2" s="18"/>
      <c r="F2" s="19"/>
      <c r="G2" s="19"/>
      <c r="H2" s="20"/>
      <c r="I2" s="4">
        <f>HLOOKUP($C2,'Параметры ПФ'!$F$8:$K$13,6,FALSE)*'Параметры ПФ'!$G$24</f>
        <v>57.67</v>
      </c>
      <c r="J2" s="4">
        <f>IF(H2=0,I2*F2*E2,IF(I2&gt;H2,H2*F2*E2,I2*F2*E2))</f>
        <v>0</v>
      </c>
      <c r="K2" s="5">
        <f>IF(J2&lt;'Параметры ПФ'!$J$3+0.01,'Дистанционные программы'!J2,ROUNDDOWN('Параметры ПФ'!$J$3/IF(H2=0,I2,IF(I2&gt;H2,H2,I2)),0)*IF(H2=0,I2,IF(I2&gt;H2,H2,I2)))</f>
        <v>0</v>
      </c>
      <c r="L2" s="4">
        <f>K2*G2</f>
        <v>0</v>
      </c>
      <c r="M2" s="33">
        <f>IF(J2&lt;'Параметры ПФ'!$J$3+0.01,E2*F2*G2,ROUNDDOWN('Параметры ПФ'!$J$3/IF(H2=0,I2,IF(I2&gt;H2,H2,I2)),0)*G2)</f>
        <v>0</v>
      </c>
      <c r="N2" s="25">
        <f>IF(H2=0,I2*F2*E2,IF(I2&gt;H2,H2*F2*E2,I2*F2*E2))-K2</f>
        <v>0</v>
      </c>
    </row>
    <row r="3" spans="1:14" x14ac:dyDescent="0.3">
      <c r="A3" s="3" t="s">
        <v>1</v>
      </c>
      <c r="B3" s="3"/>
      <c r="C3" s="3" t="s">
        <v>5</v>
      </c>
      <c r="D3" s="18"/>
      <c r="E3" s="18"/>
      <c r="F3" s="19"/>
      <c r="G3" s="19"/>
      <c r="H3" s="20"/>
      <c r="I3" s="4">
        <f>HLOOKUP($C3,'Параметры ПФ'!$F$8:$K$13,6,FALSE)*'Параметры ПФ'!$G$24</f>
        <v>57.67</v>
      </c>
      <c r="J3" s="4">
        <f>IF(H3=0,I3*F3*E3,IF(I3&gt;H3,H3*F3*E3,I3*F3*E3))</f>
        <v>0</v>
      </c>
      <c r="K3" s="5">
        <f>IF(J3&lt;'Параметры ПФ'!$J$3+0.01,'Дистанционные программы'!J3,ROUNDDOWN('Параметры ПФ'!$J$3/IF(H3=0,I3,IF(I3&gt;H3,H3,I3)),0)*IF(H3=0,I3,IF(I3&gt;H3,H3,I3)))</f>
        <v>0</v>
      </c>
      <c r="L3" s="4">
        <f t="shared" ref="L3:L8" si="0">K3*G3</f>
        <v>0</v>
      </c>
      <c r="M3" s="33">
        <f>IF(J3&lt;'Параметры ПФ'!$J$3+0.01,E3*F3*G3,ROUNDDOWN('Параметры ПФ'!$J$3/IF(H3=0,I3,IF(I3&gt;H3,H3,I3)),0)*G3)</f>
        <v>0</v>
      </c>
      <c r="N3" s="25">
        <f>IF(H3=0,I3*F3*E3,IF(I3&gt;H3,H3*F3*E3,I3*F3*E3))-K3</f>
        <v>0</v>
      </c>
    </row>
    <row r="4" spans="1:14" x14ac:dyDescent="0.3">
      <c r="A4" s="3" t="s">
        <v>2</v>
      </c>
      <c r="B4" s="3"/>
      <c r="C4" s="3" t="s">
        <v>5</v>
      </c>
      <c r="D4" s="18"/>
      <c r="E4" s="18"/>
      <c r="F4" s="19"/>
      <c r="G4" s="19"/>
      <c r="H4" s="20"/>
      <c r="I4" s="4">
        <f>HLOOKUP($C4,'Параметры ПФ'!$F$8:$K$13,6,FALSE)*'Параметры ПФ'!$G$24</f>
        <v>57.67</v>
      </c>
      <c r="J4" s="4">
        <f>IF(H4=0,I4*F4*E4,IF(I4&gt;H4,H4*F4*E4,I4*F4*E4))</f>
        <v>0</v>
      </c>
      <c r="K4" s="5">
        <f>IF(J4&lt;'Параметры ПФ'!$J$3+0.01,'Дистанционные программы'!J4,ROUNDDOWN('Параметры ПФ'!$J$3/IF(H4=0,I4,IF(I4&gt;H4,H4,I4)),0)*IF(H4=0,I4,IF(I4&gt;H4,H4,I4)))</f>
        <v>0</v>
      </c>
      <c r="L4" s="4">
        <f t="shared" si="0"/>
        <v>0</v>
      </c>
      <c r="M4" s="33">
        <f>IF(J4&lt;'Параметры ПФ'!$J$3+0.01,E4*F4*G4,ROUNDDOWN('Параметры ПФ'!$J$3/IF(H4=0,I4,IF(I4&gt;H4,H4,I4)),0)*G4)</f>
        <v>0</v>
      </c>
      <c r="N4" s="25">
        <f>IF(H4=0,I4*F4*E4,IF(I4&gt;H4,H4*F4*E4,I4*F4*E4))-K4</f>
        <v>0</v>
      </c>
    </row>
    <row r="5" spans="1:14" x14ac:dyDescent="0.3">
      <c r="A5" s="3" t="s">
        <v>1</v>
      </c>
      <c r="B5" s="3"/>
      <c r="C5" s="3" t="s">
        <v>4</v>
      </c>
      <c r="D5" s="18"/>
      <c r="E5" s="18"/>
      <c r="F5" s="19"/>
      <c r="G5" s="19"/>
      <c r="H5" s="20"/>
      <c r="I5" s="4">
        <f>HLOOKUP($C5,'Параметры ПФ'!$F$8:$K$13,6,FALSE)*'Параметры ПФ'!$G$24</f>
        <v>57.62</v>
      </c>
      <c r="J5" s="4">
        <f t="shared" ref="J5:J8" si="1">IF(H5=0,I5*F5*E5,IF(I5&gt;H5,H5*F5*E5,I5*F5*E5))</f>
        <v>0</v>
      </c>
      <c r="K5" s="5">
        <f>IF(J5&lt;'Параметры ПФ'!$J$3+0.01,'Дистанционные программы'!J5,ROUNDDOWN('Параметры ПФ'!$J$3/IF(H5=0,I5,IF(I5&gt;H5,H5,I5)),0)*IF(H5=0,I5,IF(I5&gt;H5,H5,I5)))</f>
        <v>0</v>
      </c>
      <c r="L5" s="4">
        <f t="shared" si="0"/>
        <v>0</v>
      </c>
      <c r="M5" s="33">
        <f>IF(J5&lt;'Параметры ПФ'!$J$3+0.01,E5*F5*G5,ROUNDDOWN('Параметры ПФ'!$J$3/IF(H5=0,I5,IF(I5&gt;H5,H5,I5)),0)*G5)</f>
        <v>0</v>
      </c>
      <c r="N5" s="25">
        <f t="shared" ref="N5:N8" si="2">IF(H5=0,I5*F5*E5,IF(I5&gt;H5,H5*F5*E5,I5*F5*E5))-K5</f>
        <v>0</v>
      </c>
    </row>
    <row r="6" spans="1:14" x14ac:dyDescent="0.3">
      <c r="A6" s="3" t="s">
        <v>2</v>
      </c>
      <c r="B6" s="3"/>
      <c r="C6" s="3" t="s">
        <v>4</v>
      </c>
      <c r="D6" s="18"/>
      <c r="E6" s="18"/>
      <c r="F6" s="19"/>
      <c r="G6" s="19"/>
      <c r="H6" s="20"/>
      <c r="I6" s="4">
        <f>HLOOKUP($C6,'Параметры ПФ'!$F$8:$K$13,6,FALSE)*'Параметры ПФ'!$G$24</f>
        <v>57.62</v>
      </c>
      <c r="J6" s="4">
        <f t="shared" si="1"/>
        <v>0</v>
      </c>
      <c r="K6" s="5">
        <f>IF(J6&lt;'Параметры ПФ'!$J$3+0.01,'Дистанционные программы'!J6,ROUNDDOWN('Параметры ПФ'!$J$3/IF(H6=0,I6,IF(I6&gt;H6,H6,I6)),0)*IF(H6=0,I6,IF(I6&gt;H6,H6,I6)))</f>
        <v>0</v>
      </c>
      <c r="L6" s="4">
        <f t="shared" si="0"/>
        <v>0</v>
      </c>
      <c r="M6" s="33">
        <f>IF(J6&lt;'Параметры ПФ'!$J$3+0.01,E6*F6*G6,ROUNDDOWN('Параметры ПФ'!$J$3/IF(H6=0,I6,IF(I6&gt;H6,H6,I6)),0)*G6)</f>
        <v>0</v>
      </c>
      <c r="N6" s="25">
        <f t="shared" si="2"/>
        <v>0</v>
      </c>
    </row>
    <row r="7" spans="1:14" x14ac:dyDescent="0.3">
      <c r="A7" s="3" t="s">
        <v>2</v>
      </c>
      <c r="B7" s="3"/>
      <c r="C7" s="3" t="s">
        <v>4</v>
      </c>
      <c r="D7" s="18"/>
      <c r="E7" s="18"/>
      <c r="F7" s="19"/>
      <c r="G7" s="19"/>
      <c r="H7" s="20"/>
      <c r="I7" s="4">
        <f>HLOOKUP($C7,'Параметры ПФ'!$F$8:$K$13,6,FALSE)*'Параметры ПФ'!$G$24</f>
        <v>57.62</v>
      </c>
      <c r="J7" s="4">
        <f t="shared" si="1"/>
        <v>0</v>
      </c>
      <c r="K7" s="5">
        <f>IF(J7&lt;'Параметры ПФ'!$J$3+0.01,'Дистанционные программы'!J7,ROUNDDOWN('Параметры ПФ'!$J$3/IF(H7=0,I7,IF(I7&gt;H7,H7,I7)),0)*IF(H7=0,I7,IF(I7&gt;H7,H7,I7)))</f>
        <v>0</v>
      </c>
      <c r="L7" s="4">
        <f t="shared" si="0"/>
        <v>0</v>
      </c>
      <c r="M7" s="33">
        <f>IF(J7&lt;'Параметры ПФ'!$J$3+0.01,E7*F7*G7,ROUNDDOWN('Параметры ПФ'!$J$3/IF(H7=0,I7,IF(I7&gt;H7,H7,I7)),0)*G7)</f>
        <v>0</v>
      </c>
      <c r="N7" s="25">
        <f t="shared" si="2"/>
        <v>0</v>
      </c>
    </row>
    <row r="8" spans="1:14" x14ac:dyDescent="0.3">
      <c r="A8" s="3" t="s">
        <v>39</v>
      </c>
      <c r="B8" s="3"/>
      <c r="C8" s="3" t="s">
        <v>4</v>
      </c>
      <c r="D8" s="18"/>
      <c r="E8" s="18"/>
      <c r="F8" s="19"/>
      <c r="G8" s="19"/>
      <c r="H8" s="20"/>
      <c r="I8" s="4">
        <f>HLOOKUP($C8,'Параметры ПФ'!$F$8:$K$13,6,FALSE)*'Параметры ПФ'!$G$24</f>
        <v>57.62</v>
      </c>
      <c r="J8" s="4">
        <f t="shared" si="1"/>
        <v>0</v>
      </c>
      <c r="K8" s="5">
        <f>IF(J8&lt;'Параметры ПФ'!$J$3+0.01,'Дистанционные программы'!J8,ROUNDDOWN('Параметры ПФ'!$J$3/IF(H8=0,I8,IF(I8&gt;H8,H8,I8)),0)*IF(H8=0,I8,IF(I8&gt;H8,H8,I8)))</f>
        <v>0</v>
      </c>
      <c r="L8" s="4">
        <f t="shared" si="0"/>
        <v>0</v>
      </c>
      <c r="M8" s="33">
        <f>IF(J8&lt;'Параметры ПФ'!$J$3+0.01,E8*F8*G8,ROUNDDOWN('Параметры ПФ'!$J$3/IF(H8=0,I8,IF(I8&gt;H8,H8,I8)),0)*G8)</f>
        <v>0</v>
      </c>
      <c r="N8" s="25">
        <f t="shared" si="2"/>
        <v>0</v>
      </c>
    </row>
    <row r="9" spans="1:14" x14ac:dyDescent="0.3">
      <c r="A9" s="3" t="s">
        <v>2</v>
      </c>
      <c r="B9" s="3"/>
      <c r="C9" s="3" t="s">
        <v>5</v>
      </c>
      <c r="D9" s="18"/>
      <c r="E9" s="18"/>
      <c r="F9" s="19"/>
      <c r="G9" s="19"/>
      <c r="H9" s="20"/>
      <c r="I9" s="4">
        <f>HLOOKUP($C9,'Параметры ПФ'!$F$8:$K$13,6,FALSE)*'Параметры ПФ'!$G$24</f>
        <v>57.67</v>
      </c>
      <c r="J9" s="4">
        <f t="shared" ref="J9:J12" si="3">IF(H9=0,I9*F9*E9,IF(I9&gt;H9,H9*F9*E9,I9*F9*E9))</f>
        <v>0</v>
      </c>
      <c r="K9" s="5">
        <f>IF(J9&lt;'Параметры ПФ'!$J$3+0.01,'Дистанционные программы'!J9,ROUNDDOWN('Параметры ПФ'!$J$3/IF(H9=0,I9,IF(I9&gt;H9,H9,I9)),0)*IF(H9=0,I9,IF(I9&gt;H9,H9,I9)))</f>
        <v>0</v>
      </c>
      <c r="L9" s="4">
        <f t="shared" ref="L9:L12" si="4">K9*G9</f>
        <v>0</v>
      </c>
      <c r="M9" s="33">
        <f>IF(J9&lt;'Параметры ПФ'!$J$3+0.01,E9*F9*G9,ROUNDDOWN('Параметры ПФ'!$J$3/IF(H9=0,I9,IF(I9&gt;H9,H9,I9)),0)*G9)</f>
        <v>0</v>
      </c>
      <c r="N9" s="25">
        <f t="shared" ref="N9:N12" si="5">IF(H9=0,I9*F9*E9,IF(I9&gt;H9,H9*F9*E9,I9*F9*E9))-K9</f>
        <v>0</v>
      </c>
    </row>
    <row r="10" spans="1:14" x14ac:dyDescent="0.3">
      <c r="A10" s="3" t="s">
        <v>2</v>
      </c>
      <c r="B10" s="3"/>
      <c r="C10" s="3" t="s">
        <v>5</v>
      </c>
      <c r="D10" s="18"/>
      <c r="E10" s="18"/>
      <c r="F10" s="19"/>
      <c r="G10" s="19"/>
      <c r="H10" s="20"/>
      <c r="I10" s="4">
        <f>HLOOKUP($C10,'Параметры ПФ'!$F$8:$K$13,6,FALSE)*'Параметры ПФ'!$G$24</f>
        <v>57.67</v>
      </c>
      <c r="J10" s="4">
        <f t="shared" si="3"/>
        <v>0</v>
      </c>
      <c r="K10" s="5">
        <f>IF(J10&lt;'Параметры ПФ'!$J$3+0.01,'Дистанционные программы'!J10,ROUNDDOWN('Параметры ПФ'!$J$3/IF(H10=0,I10,IF(I10&gt;H10,H10,I10)),0)*IF(H10=0,I10,IF(I10&gt;H10,H10,I10)))</f>
        <v>0</v>
      </c>
      <c r="L10" s="4">
        <f t="shared" si="4"/>
        <v>0</v>
      </c>
      <c r="M10" s="33">
        <f>IF(J10&lt;'Параметры ПФ'!$J$3+0.01,E10*F10*G10,ROUNDDOWN('Параметры ПФ'!$J$3/IF(H10=0,I10,IF(I10&gt;H10,H10,I10)),0)*G10)</f>
        <v>0</v>
      </c>
      <c r="N10" s="25">
        <f t="shared" si="5"/>
        <v>0</v>
      </c>
    </row>
    <row r="11" spans="1:14" x14ac:dyDescent="0.3">
      <c r="A11" s="3" t="s">
        <v>2</v>
      </c>
      <c r="B11" s="3"/>
      <c r="C11" s="3" t="s">
        <v>5</v>
      </c>
      <c r="D11" s="18"/>
      <c r="E11" s="18"/>
      <c r="F11" s="19"/>
      <c r="G11" s="19"/>
      <c r="H11" s="20"/>
      <c r="I11" s="4">
        <f>HLOOKUP($C11,'Параметры ПФ'!$F$8:$K$13,6,FALSE)*'Параметры ПФ'!$G$24</f>
        <v>57.67</v>
      </c>
      <c r="J11" s="4">
        <f t="shared" si="3"/>
        <v>0</v>
      </c>
      <c r="K11" s="5">
        <f>IF(J11&lt;'Параметры ПФ'!$S$12+0.01,'Дистанционные программы'!J11,ROUNDDOWN('Параметры ПФ'!$J$3/IF(H11=0,I11,IF(I11&gt;H11,H11,I11)),0)*IF(H11=0,I11,IF(I11&gt;H11,H11,I11)))</f>
        <v>0</v>
      </c>
      <c r="L11" s="4">
        <f t="shared" si="4"/>
        <v>0</v>
      </c>
      <c r="M11" s="33">
        <f>IF(J11&lt;'Параметры ПФ'!$J$3+0.01,E11*F11*G11,ROUNDDOWN('Параметры ПФ'!$J$3/IF(H11=0,I11,IF(I11&gt;H11,H11,I11)),0)*G11)</f>
        <v>0</v>
      </c>
      <c r="N11" s="25">
        <f t="shared" si="5"/>
        <v>0</v>
      </c>
    </row>
    <row r="12" spans="1:14" x14ac:dyDescent="0.3">
      <c r="A12" s="3" t="s">
        <v>2</v>
      </c>
      <c r="B12" s="3"/>
      <c r="C12" s="3" t="s">
        <v>5</v>
      </c>
      <c r="D12" s="18"/>
      <c r="E12" s="18"/>
      <c r="F12" s="19"/>
      <c r="G12" s="19"/>
      <c r="H12" s="20"/>
      <c r="I12" s="4">
        <f>HLOOKUP($C12,'Параметры ПФ'!$F$8:$K$13,6,FALSE)*'Параметры ПФ'!$G$24</f>
        <v>57.67</v>
      </c>
      <c r="J12" s="4">
        <f t="shared" si="3"/>
        <v>0</v>
      </c>
      <c r="K12" s="5">
        <f>IF(J12&lt;'Параметры ПФ'!$S$12+0.01,'Дистанционные программы'!J12,ROUNDDOWN('Параметры ПФ'!$J$3/IF(H12=0,I12,IF(I12&gt;H12,H12,I12)),0)*IF(H12=0,I12,IF(I12&gt;H12,H12,I12)))</f>
        <v>0</v>
      </c>
      <c r="L12" s="4">
        <f t="shared" si="4"/>
        <v>0</v>
      </c>
      <c r="M12" s="33">
        <f>IF(J12&lt;'Параметры ПФ'!$J$3+0.01,E12*F12*G12,ROUNDDOWN('Параметры ПФ'!$J$3/IF(H12=0,I12,IF(I12&gt;H12,H12,I12)),0)*G12)</f>
        <v>0</v>
      </c>
      <c r="N12" s="25">
        <f t="shared" si="5"/>
        <v>0</v>
      </c>
    </row>
    <row r="13" spans="1:14" x14ac:dyDescent="0.3">
      <c r="A13" s="138"/>
      <c r="B13" s="138"/>
      <c r="C13" s="138"/>
      <c r="D13" s="138"/>
      <c r="E13" s="138"/>
      <c r="F13" s="138"/>
      <c r="G13" s="6">
        <f>SUM(G2:G12)</f>
        <v>0</v>
      </c>
      <c r="H13" s="7" t="s">
        <v>31</v>
      </c>
      <c r="I13" s="8" t="s">
        <v>31</v>
      </c>
      <c r="J13" s="7" t="s">
        <v>31</v>
      </c>
      <c r="K13" s="8" t="s">
        <v>31</v>
      </c>
      <c r="L13" s="31">
        <f>SUM(L2:L12)</f>
        <v>0</v>
      </c>
      <c r="M13" s="34">
        <f>SUM(M2:M12)</f>
        <v>0</v>
      </c>
      <c r="N13" s="26" t="s">
        <v>31</v>
      </c>
    </row>
  </sheetData>
  <mergeCells count="1">
    <mergeCell ref="A13:F13"/>
  </mergeCells>
  <conditionalFormatting sqref="N2:N12">
    <cfRule type="cellIs" dxfId="1" priority="1" operator="greaterThan">
      <formula>#REF!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80" zoomScaleNormal="80" workbookViewId="0">
      <selection activeCell="B30" sqref="B30"/>
    </sheetView>
  </sheetViews>
  <sheetFormatPr defaultRowHeight="15.6" x14ac:dyDescent="0.3"/>
  <cols>
    <col min="1" max="3" width="24" customWidth="1"/>
    <col min="4" max="13" width="11.5" customWidth="1"/>
    <col min="14" max="14" width="16.5" customWidth="1"/>
  </cols>
  <sheetData>
    <row r="1" spans="1:14" ht="99.75" customHeight="1" x14ac:dyDescent="0.3">
      <c r="A1" s="13" t="s">
        <v>26</v>
      </c>
      <c r="B1" s="13" t="s">
        <v>27</v>
      </c>
      <c r="C1" s="13" t="s">
        <v>9</v>
      </c>
      <c r="D1" s="14" t="s">
        <v>8</v>
      </c>
      <c r="E1" s="14" t="s">
        <v>46</v>
      </c>
      <c r="F1" s="14" t="s">
        <v>32</v>
      </c>
      <c r="G1" s="14" t="s">
        <v>28</v>
      </c>
      <c r="H1" s="15" t="s">
        <v>33</v>
      </c>
      <c r="I1" s="16" t="s">
        <v>29</v>
      </c>
      <c r="J1" s="16" t="s">
        <v>47</v>
      </c>
      <c r="K1" s="28" t="s">
        <v>48</v>
      </c>
      <c r="L1" s="16" t="s">
        <v>37</v>
      </c>
      <c r="M1" s="16" t="s">
        <v>54</v>
      </c>
      <c r="N1" s="24" t="s">
        <v>49</v>
      </c>
    </row>
    <row r="2" spans="1:14" x14ac:dyDescent="0.3">
      <c r="A2" s="3" t="s">
        <v>1</v>
      </c>
      <c r="B2" s="3"/>
      <c r="C2" s="3" t="s">
        <v>5</v>
      </c>
      <c r="D2" s="18"/>
      <c r="E2" s="18"/>
      <c r="F2" s="19"/>
      <c r="G2" s="19"/>
      <c r="H2" s="20"/>
      <c r="I2" s="4">
        <f>HLOOKUP($C2,'Параметры ПФ'!$F$8:$K$13,6,FALSE)*'Параметры ПФ'!$G$25</f>
        <v>57.67</v>
      </c>
      <c r="J2" s="4">
        <f>IF(H2=0,I2*F2*E2,IF(I2&gt;H2,H2*F2*E2,I2*F2*E2))</f>
        <v>0</v>
      </c>
      <c r="K2" s="5">
        <f>IF(J2&lt;'Параметры ПФ'!$J$3+0.01,'Очно-заочные программы'!J2,ROUNDDOWN('Параметры ПФ'!$J$3/IF(H2=0,I2,IF(I2&gt;H2,H2,I2)),0)*IF(H2=0,I2,IF(I2&gt;H2,H2,I2)))</f>
        <v>0</v>
      </c>
      <c r="L2" s="4">
        <f t="shared" ref="L2" si="0">K2*G2</f>
        <v>0</v>
      </c>
      <c r="M2" s="33">
        <f>IF(J2&lt;'Параметры ПФ'!$J$3+0.01,E2*F2*G2,ROUNDDOWN('Параметры ПФ'!$J$3/IF(H2=0,I2,IF(I2&gt;H2,H2,I2)),0)*G2)</f>
        <v>0</v>
      </c>
      <c r="N2" s="25">
        <f>IF(H2=0,I2*F2*E2,IF(I2&gt;H2,H2*F2*E2,I2*F2*E2))-K2</f>
        <v>0</v>
      </c>
    </row>
    <row r="3" spans="1:14" x14ac:dyDescent="0.3">
      <c r="A3" s="3" t="s">
        <v>1</v>
      </c>
      <c r="B3" s="3"/>
      <c r="C3" s="3" t="s">
        <v>5</v>
      </c>
      <c r="D3" s="18"/>
      <c r="E3" s="18"/>
      <c r="F3" s="19"/>
      <c r="G3" s="19"/>
      <c r="H3" s="20"/>
      <c r="I3" s="4">
        <f>HLOOKUP($C3,'Параметры ПФ'!$F$8:$K$13,6,FALSE)*'Параметры ПФ'!$G$25</f>
        <v>57.67</v>
      </c>
      <c r="J3" s="4">
        <f t="shared" ref="J3:J21" si="1">IF(H3=0,I3*F3*E3,IF(I3&gt;H3,H3*F3*E3,I3*F3*E3))</f>
        <v>0</v>
      </c>
      <c r="K3" s="5">
        <f>IF(J3&lt;'Параметры ПФ'!$J$3+0.01,'Очно-заочные программы'!J3,ROUNDDOWN('Параметры ПФ'!$J$3/IF(H3=0,I3,IF(I3&gt;H3,H3,I3)),0)*IF(H3=0,I3,IF(I3&gt;H3,H3,I3)))</f>
        <v>0</v>
      </c>
      <c r="L3" s="4">
        <f t="shared" ref="L3:L21" si="2">K3*G3</f>
        <v>0</v>
      </c>
      <c r="M3" s="33">
        <f>IF(J3&lt;'Параметры ПФ'!$J$3+0.01,E3*F3*G3,ROUNDDOWN('Параметры ПФ'!$J$3/IF(H3=0,I3,IF(I3&gt;H3,H3,I3)),0)*G3)</f>
        <v>0</v>
      </c>
      <c r="N3" s="25">
        <f t="shared" ref="N3:N21" si="3">IF(H3=0,I3*F3*E3,IF(I3&gt;H3,H3*F3*E3,I3*F3*E3))-K3</f>
        <v>0</v>
      </c>
    </row>
    <row r="4" spans="1:14" x14ac:dyDescent="0.3">
      <c r="A4" s="3" t="s">
        <v>2</v>
      </c>
      <c r="B4" s="3"/>
      <c r="C4" s="3" t="s">
        <v>5</v>
      </c>
      <c r="D4" s="18"/>
      <c r="E4" s="18"/>
      <c r="F4" s="19"/>
      <c r="G4" s="19"/>
      <c r="H4" s="20"/>
      <c r="I4" s="4">
        <f>HLOOKUP($C4,'Параметры ПФ'!$F$8:$K$13,6,FALSE)*'Параметры ПФ'!$G$25</f>
        <v>57.67</v>
      </c>
      <c r="J4" s="4">
        <f t="shared" si="1"/>
        <v>0</v>
      </c>
      <c r="K4" s="5">
        <f>IF(J4&lt;'Параметры ПФ'!$J$3+0.01,'Очно-заочные программы'!J4,ROUNDDOWN('Параметры ПФ'!$J$3/IF(H4=0,I4,IF(I4&gt;H4,H4,I4)),0)*IF(H4=0,I4,IF(I4&gt;H4,H4,I4)))</f>
        <v>0</v>
      </c>
      <c r="L4" s="4">
        <f t="shared" si="2"/>
        <v>0</v>
      </c>
      <c r="M4" s="33">
        <f>IF(J4&lt;'Параметры ПФ'!$J$3+0.01,E4*F4*G4,ROUNDDOWN('Параметры ПФ'!$J$3/IF(H4=0,I4,IF(I4&gt;H4,H4,I4)),0)*G4)</f>
        <v>0</v>
      </c>
      <c r="N4" s="25">
        <f t="shared" si="3"/>
        <v>0</v>
      </c>
    </row>
    <row r="5" spans="1:14" x14ac:dyDescent="0.3">
      <c r="A5" s="3" t="s">
        <v>1</v>
      </c>
      <c r="B5" s="3"/>
      <c r="C5" s="3" t="s">
        <v>5</v>
      </c>
      <c r="D5" s="18"/>
      <c r="E5" s="18"/>
      <c r="F5" s="19"/>
      <c r="G5" s="19"/>
      <c r="H5" s="20"/>
      <c r="I5" s="4">
        <f>HLOOKUP($C5,'Параметры ПФ'!$F$8:$K$13,6,FALSE)*'Параметры ПФ'!$G$25</f>
        <v>57.67</v>
      </c>
      <c r="J5" s="4">
        <f t="shared" si="1"/>
        <v>0</v>
      </c>
      <c r="K5" s="5">
        <f>IF(J5&lt;'Параметры ПФ'!$J$3+0.01,'Очно-заочные программы'!J5,ROUNDDOWN('Параметры ПФ'!$J$3/IF(H5=0,I5,IF(I5&gt;H5,H5,I5)),0)*IF(H5=0,I5,IF(I5&gt;H5,H5,I5)))</f>
        <v>0</v>
      </c>
      <c r="L5" s="4">
        <f t="shared" si="2"/>
        <v>0</v>
      </c>
      <c r="M5" s="33">
        <f>IF(J5&lt;'Параметры ПФ'!$J$3+0.01,E5*F5*G5,ROUNDDOWN('Параметры ПФ'!$J$3/IF(H5=0,I5,IF(I5&gt;H5,H5,I5)),0)*G5)</f>
        <v>0</v>
      </c>
      <c r="N5" s="25">
        <f t="shared" si="3"/>
        <v>0</v>
      </c>
    </row>
    <row r="6" spans="1:14" x14ac:dyDescent="0.3">
      <c r="A6" s="3" t="s">
        <v>2</v>
      </c>
      <c r="B6" s="3"/>
      <c r="C6" s="3" t="s">
        <v>5</v>
      </c>
      <c r="D6" s="18"/>
      <c r="E6" s="18"/>
      <c r="F6" s="19"/>
      <c r="G6" s="19"/>
      <c r="H6" s="20"/>
      <c r="I6" s="4">
        <f>HLOOKUP($C6,'Параметры ПФ'!$F$8:$K$13,6,FALSE)*'Параметры ПФ'!$G$25</f>
        <v>57.67</v>
      </c>
      <c r="J6" s="4">
        <f t="shared" si="1"/>
        <v>0</v>
      </c>
      <c r="K6" s="5">
        <f>IF(J6&lt;'Параметры ПФ'!$J$3+0.01,'Очно-заочные программы'!J6,ROUNDDOWN('Параметры ПФ'!$J$3/IF(H6=0,I6,IF(I6&gt;H6,H6,I6)),0)*IF(H6=0,I6,IF(I6&gt;H6,H6,I6)))</f>
        <v>0</v>
      </c>
      <c r="L6" s="4">
        <f t="shared" si="2"/>
        <v>0</v>
      </c>
      <c r="M6" s="33">
        <f>IF(J6&lt;'Параметры ПФ'!$J$3+0.01,E6*F6*G6,ROUNDDOWN('Параметры ПФ'!$J$3/IF(H6=0,I6,IF(I6&gt;H6,H6,I6)),0)*G6)</f>
        <v>0</v>
      </c>
      <c r="N6" s="25">
        <f t="shared" si="3"/>
        <v>0</v>
      </c>
    </row>
    <row r="7" spans="1:14" x14ac:dyDescent="0.3">
      <c r="A7" s="3" t="s">
        <v>2</v>
      </c>
      <c r="B7" s="3"/>
      <c r="C7" s="3" t="s">
        <v>5</v>
      </c>
      <c r="D7" s="18"/>
      <c r="E7" s="18"/>
      <c r="F7" s="19"/>
      <c r="G7" s="19"/>
      <c r="H7" s="20"/>
      <c r="I7" s="4">
        <f>HLOOKUP($C7,'Параметры ПФ'!$F$8:$K$13,6,FALSE)*'Параметры ПФ'!$G$25</f>
        <v>57.67</v>
      </c>
      <c r="J7" s="4">
        <f t="shared" si="1"/>
        <v>0</v>
      </c>
      <c r="K7" s="5">
        <f>IF(J7&lt;'Параметры ПФ'!$J$3+0.01,'Очно-заочные программы'!J7,ROUNDDOWN('Параметры ПФ'!$J$3/IF(H7=0,I7,IF(I7&gt;H7,H7,I7)),0)*IF(H7=0,I7,IF(I7&gt;H7,H7,I7)))</f>
        <v>0</v>
      </c>
      <c r="L7" s="4">
        <f t="shared" si="2"/>
        <v>0</v>
      </c>
      <c r="M7" s="33">
        <f>IF(J7&lt;'Параметры ПФ'!$J$3+0.01,E7*F7*G7,ROUNDDOWN('Параметры ПФ'!$J$3/IF(H7=0,I7,IF(I7&gt;H7,H7,I7)),0)*G7)</f>
        <v>0</v>
      </c>
      <c r="N7" s="25">
        <f t="shared" si="3"/>
        <v>0</v>
      </c>
    </row>
    <row r="8" spans="1:14" x14ac:dyDescent="0.3">
      <c r="A8" s="3" t="s">
        <v>39</v>
      </c>
      <c r="B8" s="3"/>
      <c r="C8" s="3" t="s">
        <v>5</v>
      </c>
      <c r="D8" s="18"/>
      <c r="E8" s="18"/>
      <c r="F8" s="19"/>
      <c r="G8" s="19"/>
      <c r="H8" s="20"/>
      <c r="I8" s="4">
        <f>HLOOKUP($C8,'Параметры ПФ'!$F$8:$K$13,6,FALSE)*'Параметры ПФ'!$G$25</f>
        <v>57.67</v>
      </c>
      <c r="J8" s="4">
        <f t="shared" si="1"/>
        <v>0</v>
      </c>
      <c r="K8" s="5">
        <f>IF(J8&lt;'Параметры ПФ'!$J$3+0.01,'Очно-заочные программы'!J8,ROUNDDOWN('Параметры ПФ'!$J$3/IF(H8=0,I8,IF(I8&gt;H8,H8,I8)),0)*IF(H8=0,I8,IF(I8&gt;H8,H8,I8)))</f>
        <v>0</v>
      </c>
      <c r="L8" s="4">
        <f t="shared" si="2"/>
        <v>0</v>
      </c>
      <c r="M8" s="33">
        <f>IF(J8&lt;'Параметры ПФ'!$J$3+0.01,E8*F8*G8,ROUNDDOWN('Параметры ПФ'!$J$3/IF(H8=0,I8,IF(I8&gt;H8,H8,I8)),0)*G8)</f>
        <v>0</v>
      </c>
      <c r="N8" s="25">
        <f t="shared" si="3"/>
        <v>0</v>
      </c>
    </row>
    <row r="9" spans="1:14" x14ac:dyDescent="0.3">
      <c r="A9" s="3" t="s">
        <v>2</v>
      </c>
      <c r="B9" s="3"/>
      <c r="C9" s="3" t="s">
        <v>5</v>
      </c>
      <c r="D9" s="18"/>
      <c r="E9" s="18"/>
      <c r="F9" s="19"/>
      <c r="G9" s="19"/>
      <c r="H9" s="20"/>
      <c r="I9" s="4">
        <f>HLOOKUP($C9,'Параметры ПФ'!$F$8:$K$13,6,FALSE)*'Параметры ПФ'!$G$25</f>
        <v>57.67</v>
      </c>
      <c r="J9" s="4">
        <f t="shared" si="1"/>
        <v>0</v>
      </c>
      <c r="K9" s="5">
        <f>IF(J9&lt;'Параметры ПФ'!$J$3+0.01,'Очно-заочные программы'!J9,ROUNDDOWN('Параметры ПФ'!$J$3/IF(H9=0,I9,IF(I9&gt;H9,H9,I9)),0)*IF(H9=0,I9,IF(I9&gt;H9,H9,I9)))</f>
        <v>0</v>
      </c>
      <c r="L9" s="4">
        <f t="shared" si="2"/>
        <v>0</v>
      </c>
      <c r="M9" s="33">
        <f>IF(J9&lt;'Параметры ПФ'!$J$3+0.01,E9*F9*G9,ROUNDDOWN('Параметры ПФ'!$J$3/IF(H9=0,I9,IF(I9&gt;H9,H9,I9)),0)*G9)</f>
        <v>0</v>
      </c>
      <c r="N9" s="25">
        <f t="shared" si="3"/>
        <v>0</v>
      </c>
    </row>
    <row r="10" spans="1:14" x14ac:dyDescent="0.3">
      <c r="A10" s="3" t="s">
        <v>2</v>
      </c>
      <c r="B10" s="3"/>
      <c r="C10" s="3" t="s">
        <v>5</v>
      </c>
      <c r="D10" s="18"/>
      <c r="E10" s="18"/>
      <c r="F10" s="19"/>
      <c r="G10" s="19"/>
      <c r="H10" s="20"/>
      <c r="I10" s="4">
        <f>HLOOKUP($C10,'Параметры ПФ'!$F$8:$K$13,6,FALSE)*'Параметры ПФ'!$G$25</f>
        <v>57.67</v>
      </c>
      <c r="J10" s="4">
        <f t="shared" si="1"/>
        <v>0</v>
      </c>
      <c r="K10" s="5">
        <f>IF(J10&lt;'Параметры ПФ'!$J$3+0.01,'Очно-заочные программы'!J10,ROUNDDOWN('Параметры ПФ'!$J$3/IF(H10=0,I10,IF(I10&gt;H10,H10,I10)),0)*IF(H10=0,I10,IF(I10&gt;H10,H10,I10)))</f>
        <v>0</v>
      </c>
      <c r="L10" s="4">
        <f t="shared" si="2"/>
        <v>0</v>
      </c>
      <c r="M10" s="33">
        <f>IF(J10&lt;'Параметры ПФ'!$J$3+0.01,E10*F10*G10,ROUNDDOWN('Параметры ПФ'!$J$3/IF(H10=0,I10,IF(I10&gt;H10,H10,I10)),0)*G10)</f>
        <v>0</v>
      </c>
      <c r="N10" s="25">
        <f t="shared" si="3"/>
        <v>0</v>
      </c>
    </row>
    <row r="11" spans="1:14" x14ac:dyDescent="0.3">
      <c r="A11" s="3" t="s">
        <v>2</v>
      </c>
      <c r="B11" s="3"/>
      <c r="C11" s="3" t="s">
        <v>5</v>
      </c>
      <c r="D11" s="18"/>
      <c r="E11" s="18"/>
      <c r="F11" s="19"/>
      <c r="G11" s="19"/>
      <c r="H11" s="20"/>
      <c r="I11" s="4">
        <f>HLOOKUP($C11,'Параметры ПФ'!$F$8:$K$13,6,FALSE)*'Параметры ПФ'!$G$25</f>
        <v>57.67</v>
      </c>
      <c r="J11" s="4">
        <f t="shared" si="1"/>
        <v>0</v>
      </c>
      <c r="K11" s="5">
        <f>IF(J11&lt;'Параметры ПФ'!$J$3+0.01,'Очно-заочные программы'!J11,ROUNDDOWN('Параметры ПФ'!$J$3/IF(H11=0,I11,IF(I11&gt;H11,H11,I11)),0)*IF(H11=0,I11,IF(I11&gt;H11,H11,I11)))</f>
        <v>0</v>
      </c>
      <c r="L11" s="4">
        <f t="shared" si="2"/>
        <v>0</v>
      </c>
      <c r="M11" s="33">
        <f>IF(J11&lt;'Параметры ПФ'!$J$3+0.01,E11*F11*G11,ROUNDDOWN('Параметры ПФ'!$J$3/IF(H11=0,I11,IF(I11&gt;H11,H11,I11)),0)*G11)</f>
        <v>0</v>
      </c>
      <c r="N11" s="25">
        <f t="shared" si="3"/>
        <v>0</v>
      </c>
    </row>
    <row r="12" spans="1:14" x14ac:dyDescent="0.3">
      <c r="A12" s="3" t="s">
        <v>2</v>
      </c>
      <c r="B12" s="3"/>
      <c r="C12" s="3" t="s">
        <v>5</v>
      </c>
      <c r="D12" s="18"/>
      <c r="E12" s="18"/>
      <c r="F12" s="19"/>
      <c r="G12" s="19"/>
      <c r="H12" s="20"/>
      <c r="I12" s="4">
        <f>HLOOKUP($C12,'Параметры ПФ'!$F$8:$K$13,6,FALSE)*'Параметры ПФ'!$G$25</f>
        <v>57.67</v>
      </c>
      <c r="J12" s="4">
        <f t="shared" si="1"/>
        <v>0</v>
      </c>
      <c r="K12" s="5">
        <f>IF(J12&lt;'Параметры ПФ'!$J$3+0.01,'Очно-заочные программы'!J12,ROUNDDOWN('Параметры ПФ'!$J$3/IF(H12=0,I12,IF(I12&gt;H12,H12,I12)),0)*IF(H12=0,I12,IF(I12&gt;H12,H12,I12)))</f>
        <v>0</v>
      </c>
      <c r="L12" s="4">
        <f t="shared" si="2"/>
        <v>0</v>
      </c>
      <c r="M12" s="33">
        <f>IF(J12&lt;'Параметры ПФ'!$J$3+0.01,E12*F12*G12,ROUNDDOWN('Параметры ПФ'!$J$3/IF(H12=0,I12,IF(I12&gt;H12,H12,I12)),0)*G12)</f>
        <v>0</v>
      </c>
      <c r="N12" s="25">
        <f t="shared" si="3"/>
        <v>0</v>
      </c>
    </row>
    <row r="13" spans="1:14" x14ac:dyDescent="0.3">
      <c r="A13" s="3" t="s">
        <v>2</v>
      </c>
      <c r="B13" s="3"/>
      <c r="C13" s="3" t="s">
        <v>5</v>
      </c>
      <c r="D13" s="18"/>
      <c r="E13" s="18"/>
      <c r="F13" s="19"/>
      <c r="G13" s="19"/>
      <c r="H13" s="20"/>
      <c r="I13" s="4">
        <f>HLOOKUP($C13,'Параметры ПФ'!$F$8:$K$13,6,FALSE)*'Параметры ПФ'!$G$25</f>
        <v>57.67</v>
      </c>
      <c r="J13" s="4">
        <f t="shared" si="1"/>
        <v>0</v>
      </c>
      <c r="K13" s="5">
        <f>IF(J13&lt;'Параметры ПФ'!$J$3+0.01,'Очно-заочные программы'!J13,ROUNDDOWN('Параметры ПФ'!$J$3/IF(H13=0,I13,IF(I13&gt;H13,H13,I13)),0)*IF(H13=0,I13,IF(I13&gt;H13,H13,I13)))</f>
        <v>0</v>
      </c>
      <c r="L13" s="4">
        <f t="shared" si="2"/>
        <v>0</v>
      </c>
      <c r="M13" s="33">
        <f>IF(J13&lt;'Параметры ПФ'!$J$3+0.01,E13*F13*G13,ROUNDDOWN('Параметры ПФ'!$J$3/IF(H13=0,I13,IF(I13&gt;H13,H13,I13)),0)*G13)</f>
        <v>0</v>
      </c>
      <c r="N13" s="25">
        <f t="shared" si="3"/>
        <v>0</v>
      </c>
    </row>
    <row r="14" spans="1:14" x14ac:dyDescent="0.3">
      <c r="A14" s="3" t="s">
        <v>2</v>
      </c>
      <c r="B14" s="3"/>
      <c r="C14" s="3" t="s">
        <v>5</v>
      </c>
      <c r="D14" s="18"/>
      <c r="E14" s="18"/>
      <c r="F14" s="19"/>
      <c r="G14" s="19"/>
      <c r="H14" s="20"/>
      <c r="I14" s="4">
        <f>HLOOKUP($C14,'Параметры ПФ'!$F$8:$K$13,6,FALSE)*'Параметры ПФ'!$G$25</f>
        <v>57.67</v>
      </c>
      <c r="J14" s="4">
        <f t="shared" si="1"/>
        <v>0</v>
      </c>
      <c r="K14" s="5">
        <f>IF(J14&lt;'Параметры ПФ'!$J$3+0.01,'Очно-заочные программы'!J14,ROUNDDOWN('Параметры ПФ'!$J$3/IF(H14=0,I14,IF(I14&gt;H14,H14,I14)),0)*IF(H14=0,I14,IF(I14&gt;H14,H14,I14)))</f>
        <v>0</v>
      </c>
      <c r="L14" s="4">
        <f t="shared" si="2"/>
        <v>0</v>
      </c>
      <c r="M14" s="33">
        <f>IF(J14&lt;'Параметры ПФ'!$J$3+0.01,E14*F14*G14,ROUNDDOWN('Параметры ПФ'!$J$3/IF(H14=0,I14,IF(I14&gt;H14,H14,I14)),0)*G14)</f>
        <v>0</v>
      </c>
      <c r="N14" s="25">
        <f t="shared" si="3"/>
        <v>0</v>
      </c>
    </row>
    <row r="15" spans="1:14" x14ac:dyDescent="0.3">
      <c r="A15" s="3" t="s">
        <v>2</v>
      </c>
      <c r="B15" s="3"/>
      <c r="C15" s="3" t="s">
        <v>5</v>
      </c>
      <c r="D15" s="18"/>
      <c r="E15" s="18"/>
      <c r="F15" s="19"/>
      <c r="G15" s="19"/>
      <c r="H15" s="20"/>
      <c r="I15" s="4">
        <f>HLOOKUP($C15,'Параметры ПФ'!$F$8:$K$13,6,FALSE)*'Параметры ПФ'!$G$25</f>
        <v>57.67</v>
      </c>
      <c r="J15" s="4">
        <f t="shared" si="1"/>
        <v>0</v>
      </c>
      <c r="K15" s="5">
        <f>IF(J15&lt;'Параметры ПФ'!$J$3+0.01,'Очно-заочные программы'!J15,ROUNDDOWN('Параметры ПФ'!$J$3/IF(H15=0,I15,IF(I15&gt;H15,H15,I15)),0)*IF(H15=0,I15,IF(I15&gt;H15,H15,I15)))</f>
        <v>0</v>
      </c>
      <c r="L15" s="4">
        <f t="shared" si="2"/>
        <v>0</v>
      </c>
      <c r="M15" s="33">
        <f>IF(J15&lt;'Параметры ПФ'!$J$3+0.01,E15*F15*G15,ROUNDDOWN('Параметры ПФ'!$J$3/IF(H15=0,I15,IF(I15&gt;H15,H15,I15)),0)*G15)</f>
        <v>0</v>
      </c>
      <c r="N15" s="25">
        <f t="shared" si="3"/>
        <v>0</v>
      </c>
    </row>
    <row r="16" spans="1:14" x14ac:dyDescent="0.3">
      <c r="A16" s="3" t="s">
        <v>2</v>
      </c>
      <c r="B16" s="3"/>
      <c r="C16" s="3" t="s">
        <v>5</v>
      </c>
      <c r="D16" s="18"/>
      <c r="E16" s="18"/>
      <c r="F16" s="19"/>
      <c r="G16" s="19"/>
      <c r="H16" s="20"/>
      <c r="I16" s="4">
        <f>HLOOKUP($C16,'Параметры ПФ'!$F$8:$K$13,6,FALSE)*'Параметры ПФ'!$G$25</f>
        <v>57.67</v>
      </c>
      <c r="J16" s="4">
        <f t="shared" si="1"/>
        <v>0</v>
      </c>
      <c r="K16" s="5">
        <f>IF(J16&lt;'Параметры ПФ'!$J$3+0.01,'Очно-заочные программы'!J16,ROUNDDOWN('Параметры ПФ'!$J$3/IF(H16=0,I16,IF(I16&gt;H16,H16,I16)),0)*IF(H16=0,I16,IF(I16&gt;H16,H16,I16)))</f>
        <v>0</v>
      </c>
      <c r="L16" s="4">
        <f t="shared" si="2"/>
        <v>0</v>
      </c>
      <c r="M16" s="33">
        <f>IF(J16&lt;'Параметры ПФ'!$J$3+0.01,E16*F16*G16,ROUNDDOWN('Параметры ПФ'!$J$3/IF(H16=0,I16,IF(I16&gt;H16,H16,I16)),0)*G16)</f>
        <v>0</v>
      </c>
      <c r="N16" s="25">
        <f t="shared" si="3"/>
        <v>0</v>
      </c>
    </row>
    <row r="17" spans="1:14" x14ac:dyDescent="0.3">
      <c r="A17" s="3" t="s">
        <v>2</v>
      </c>
      <c r="B17" s="3"/>
      <c r="C17" s="3" t="s">
        <v>5</v>
      </c>
      <c r="D17" s="18"/>
      <c r="E17" s="18"/>
      <c r="F17" s="19"/>
      <c r="G17" s="19"/>
      <c r="H17" s="20"/>
      <c r="I17" s="4">
        <f>HLOOKUP($C17,'Параметры ПФ'!$F$8:$K$13,6,FALSE)*'Параметры ПФ'!$G$25</f>
        <v>57.67</v>
      </c>
      <c r="J17" s="4">
        <f t="shared" si="1"/>
        <v>0</v>
      </c>
      <c r="K17" s="5">
        <f>IF(J17&lt;'Параметры ПФ'!$J$3+0.01,'Очно-заочные программы'!J17,ROUNDDOWN('Параметры ПФ'!$J$3/IF(H17=0,I17,IF(I17&gt;H17,H17,I17)),0)*IF(H17=0,I17,IF(I17&gt;H17,H17,I17)))</f>
        <v>0</v>
      </c>
      <c r="L17" s="4">
        <f t="shared" si="2"/>
        <v>0</v>
      </c>
      <c r="M17" s="33">
        <f>IF(J17&lt;'Параметры ПФ'!$J$3+0.01,E17*F17*G17,ROUNDDOWN('Параметры ПФ'!$J$3/IF(H17=0,I17,IF(I17&gt;H17,H17,I17)),0)*G17)</f>
        <v>0</v>
      </c>
      <c r="N17" s="25">
        <f t="shared" si="3"/>
        <v>0</v>
      </c>
    </row>
    <row r="18" spans="1:14" x14ac:dyDescent="0.3">
      <c r="A18" s="3" t="s">
        <v>2</v>
      </c>
      <c r="B18" s="3"/>
      <c r="C18" s="3" t="s">
        <v>5</v>
      </c>
      <c r="D18" s="18"/>
      <c r="E18" s="18"/>
      <c r="F18" s="19"/>
      <c r="G18" s="19"/>
      <c r="H18" s="20"/>
      <c r="I18" s="4">
        <f>HLOOKUP($C18,'Параметры ПФ'!$F$8:$K$13,6,FALSE)*'Параметры ПФ'!$G$25</f>
        <v>57.67</v>
      </c>
      <c r="J18" s="4">
        <f t="shared" si="1"/>
        <v>0</v>
      </c>
      <c r="K18" s="5">
        <f>IF(J18&lt;'Параметры ПФ'!$J$3+0.01,'Очно-заочные программы'!J18,ROUNDDOWN('Параметры ПФ'!$J$3/IF(H18=0,I18,IF(I18&gt;H18,H18,I18)),0)*IF(H18=0,I18,IF(I18&gt;H18,H18,I18)))</f>
        <v>0</v>
      </c>
      <c r="L18" s="4">
        <f t="shared" si="2"/>
        <v>0</v>
      </c>
      <c r="M18" s="33">
        <f>IF(J18&lt;'Параметры ПФ'!$J$3+0.01,E18*F18*G18,ROUNDDOWN('Параметры ПФ'!$J$3/IF(H18=0,I18,IF(I18&gt;H18,H18,I18)),0)*G18)</f>
        <v>0</v>
      </c>
      <c r="N18" s="25">
        <f t="shared" si="3"/>
        <v>0</v>
      </c>
    </row>
    <row r="19" spans="1:14" x14ac:dyDescent="0.3">
      <c r="A19" s="3" t="s">
        <v>2</v>
      </c>
      <c r="B19" s="3"/>
      <c r="C19" s="3" t="s">
        <v>5</v>
      </c>
      <c r="D19" s="18"/>
      <c r="E19" s="18"/>
      <c r="F19" s="19"/>
      <c r="G19" s="19"/>
      <c r="H19" s="20"/>
      <c r="I19" s="4">
        <f>HLOOKUP($C19,'Параметры ПФ'!$F$8:$K$13,6,FALSE)*'Параметры ПФ'!$G$25</f>
        <v>57.67</v>
      </c>
      <c r="J19" s="4">
        <f t="shared" si="1"/>
        <v>0</v>
      </c>
      <c r="K19" s="5">
        <f>IF(J19&lt;'Параметры ПФ'!$J$3+0.01,'Очно-заочные программы'!J19,ROUNDDOWN('Параметры ПФ'!$J$3/IF(H19=0,I19,IF(I19&gt;H19,H19,I19)),0)*IF(H19=0,I19,IF(I19&gt;H19,H19,I19)))</f>
        <v>0</v>
      </c>
      <c r="L19" s="4">
        <f t="shared" si="2"/>
        <v>0</v>
      </c>
      <c r="M19" s="33">
        <f>IF(J19&lt;'Параметры ПФ'!$J$3+0.01,E19*F19*G19,ROUNDDOWN('Параметры ПФ'!$J$3/IF(H19=0,I19,IF(I19&gt;H19,H19,I19)),0)*G19)</f>
        <v>0</v>
      </c>
      <c r="N19" s="25">
        <f t="shared" si="3"/>
        <v>0</v>
      </c>
    </row>
    <row r="20" spans="1:14" x14ac:dyDescent="0.3">
      <c r="A20" s="3" t="s">
        <v>2</v>
      </c>
      <c r="B20" s="3"/>
      <c r="C20" s="3" t="s">
        <v>5</v>
      </c>
      <c r="D20" s="18"/>
      <c r="E20" s="18"/>
      <c r="F20" s="19"/>
      <c r="G20" s="19"/>
      <c r="H20" s="20"/>
      <c r="I20" s="4">
        <f>HLOOKUP($C20,'Параметры ПФ'!$F$8:$K$13,6,FALSE)*'Параметры ПФ'!$G$25</f>
        <v>57.67</v>
      </c>
      <c r="J20" s="4">
        <f t="shared" si="1"/>
        <v>0</v>
      </c>
      <c r="K20" s="5">
        <f>IF(J20&lt;'Параметры ПФ'!$J$3+0.01,'Очно-заочные программы'!J20,ROUNDDOWN('Параметры ПФ'!$J$3/IF(H20=0,I20,IF(I20&gt;H20,H20,I20)),0)*IF(H20=0,I20,IF(I20&gt;H20,H20,I20)))</f>
        <v>0</v>
      </c>
      <c r="L20" s="4">
        <f t="shared" si="2"/>
        <v>0</v>
      </c>
      <c r="M20" s="33">
        <f>IF(J20&lt;'Параметры ПФ'!$J$3+0.01,E20*F20*G20,ROUNDDOWN('Параметры ПФ'!$J$3/IF(H20=0,I20,IF(I20&gt;H20,H20,I20)),0)*G20)</f>
        <v>0</v>
      </c>
      <c r="N20" s="25">
        <f t="shared" si="3"/>
        <v>0</v>
      </c>
    </row>
    <row r="21" spans="1:14" x14ac:dyDescent="0.3">
      <c r="A21" s="3" t="s">
        <v>2</v>
      </c>
      <c r="B21" s="3"/>
      <c r="C21" s="3" t="s">
        <v>5</v>
      </c>
      <c r="D21" s="18"/>
      <c r="E21" s="18"/>
      <c r="F21" s="19"/>
      <c r="G21" s="19"/>
      <c r="H21" s="20"/>
      <c r="I21" s="4">
        <f>HLOOKUP($C21,'Параметры ПФ'!$F$8:$K$13,6,FALSE)*'Параметры ПФ'!$G$25</f>
        <v>57.67</v>
      </c>
      <c r="J21" s="4">
        <f t="shared" si="1"/>
        <v>0</v>
      </c>
      <c r="K21" s="5">
        <f>IF(J21&lt;'Параметры ПФ'!$J$3+0.01,'Очно-заочные программы'!J21,ROUNDDOWN('Параметры ПФ'!$J$3/IF(H21=0,I21,IF(I21&gt;H21,H21,I21)),0)*IF(H21=0,I21,IF(I21&gt;H21,H21,I21)))</f>
        <v>0</v>
      </c>
      <c r="L21" s="4">
        <f t="shared" si="2"/>
        <v>0</v>
      </c>
      <c r="M21" s="33">
        <f>IF(J21&lt;'Параметры ПФ'!$J$3+0.01,E21*F21*G21,ROUNDDOWN('Параметры ПФ'!$J$3/IF(H21=0,I21,IF(I21&gt;H21,H21,I21)),0)*G21)</f>
        <v>0</v>
      </c>
      <c r="N21" s="25">
        <f t="shared" si="3"/>
        <v>0</v>
      </c>
    </row>
    <row r="22" spans="1:14" x14ac:dyDescent="0.3">
      <c r="A22" s="138"/>
      <c r="B22" s="138"/>
      <c r="C22" s="138"/>
      <c r="D22" s="138"/>
      <c r="E22" s="138"/>
      <c r="F22" s="138"/>
      <c r="G22" s="6">
        <f>SUM(G2:G21)</f>
        <v>0</v>
      </c>
      <c r="H22" s="7" t="s">
        <v>31</v>
      </c>
      <c r="I22" s="8" t="s">
        <v>31</v>
      </c>
      <c r="J22" s="7" t="s">
        <v>31</v>
      </c>
      <c r="K22" s="8" t="s">
        <v>31</v>
      </c>
      <c r="L22" s="31">
        <f>SUM(L2:L21)</f>
        <v>0</v>
      </c>
      <c r="M22" s="34">
        <f>SUM(M2:M21)</f>
        <v>0</v>
      </c>
      <c r="N22" s="26" t="s">
        <v>31</v>
      </c>
    </row>
  </sheetData>
  <mergeCells count="1">
    <mergeCell ref="A22:F22"/>
  </mergeCells>
  <conditionalFormatting sqref="N2:N21">
    <cfRule type="cellIs" dxfId="0" priority="1" operator="greaterThan">
      <formula>#REF!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'Параметры ПФ'!$F$8:$K$8</xm:f>
          </x14:formula1>
          <xm:sqref>C2:C38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Справочная информация</vt:lpstr>
      <vt:lpstr>Программы не ПФ</vt:lpstr>
      <vt:lpstr>Параметры ПФ</vt:lpstr>
      <vt:lpstr>Стандартные программы</vt:lpstr>
      <vt:lpstr>Адаптированные программы</vt:lpstr>
      <vt:lpstr>Дистанционные программы</vt:lpstr>
      <vt:lpstr>Очно-заочные программы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2022-12-14T15:14:35Z</cp:lastPrinted>
  <dcterms:created xsi:type="dcterms:W3CDTF">2019-03-03T02:50:35Z</dcterms:created>
  <dcterms:modified xsi:type="dcterms:W3CDTF">2024-10-28T07:02:57Z</dcterms:modified>
</cp:coreProperties>
</file>